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2"/>
  </bookViews>
  <sheets>
    <sheet name="JULIO" sheetId="1" r:id="rId1"/>
    <sheet name="AGOSTO" sheetId="2" r:id="rId2"/>
    <sheet name="SEPTIEMBRE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73" i="2" l="1"/>
  <c r="I74" i="2" s="1"/>
  <c r="F73" i="2"/>
  <c r="E73" i="2"/>
  <c r="E74" i="2" s="1"/>
  <c r="D73" i="2"/>
  <c r="D74" i="2" s="1"/>
  <c r="F74" i="2" s="1"/>
  <c r="J72" i="2"/>
  <c r="H72" i="2"/>
  <c r="F72" i="2"/>
  <c r="J71" i="2"/>
  <c r="H71" i="2"/>
  <c r="H73" i="2" s="1"/>
  <c r="F71" i="2"/>
  <c r="J70" i="2"/>
  <c r="J73" i="2" s="1"/>
  <c r="F70" i="2"/>
  <c r="I69" i="2"/>
  <c r="E69" i="2"/>
  <c r="D69" i="2"/>
  <c r="F69" i="2" s="1"/>
  <c r="H68" i="2"/>
  <c r="J68" i="2" s="1"/>
  <c r="F68" i="2"/>
  <c r="D68" i="2"/>
  <c r="J67" i="2"/>
  <c r="F67" i="2"/>
  <c r="H66" i="2"/>
  <c r="J66" i="2" s="1"/>
  <c r="F66" i="2"/>
  <c r="D66" i="2"/>
  <c r="J65" i="2"/>
  <c r="H65" i="2"/>
  <c r="F65" i="2"/>
  <c r="J64" i="2"/>
  <c r="H64" i="2"/>
  <c r="H69" i="2" s="1"/>
  <c r="J69" i="2" s="1"/>
  <c r="F64" i="2"/>
  <c r="J63" i="2"/>
  <c r="F63" i="2"/>
  <c r="I60" i="2"/>
  <c r="H60" i="2"/>
  <c r="J60" i="2" s="1"/>
  <c r="E60" i="2"/>
  <c r="D60" i="2"/>
  <c r="F60" i="2" s="1"/>
  <c r="J59" i="2"/>
  <c r="F59" i="2"/>
  <c r="J58" i="2"/>
  <c r="F58" i="2"/>
  <c r="J57" i="2"/>
  <c r="F57" i="2"/>
  <c r="J56" i="2"/>
  <c r="F56" i="2"/>
  <c r="J55" i="2"/>
  <c r="F55" i="2"/>
  <c r="J54" i="2"/>
  <c r="F54" i="2"/>
  <c r="J53" i="2"/>
  <c r="F53" i="2"/>
  <c r="J52" i="2"/>
  <c r="F52" i="2"/>
  <c r="J51" i="2"/>
  <c r="F51" i="2"/>
  <c r="J50" i="2"/>
  <c r="F50" i="2"/>
  <c r="J49" i="2"/>
  <c r="F49" i="2"/>
  <c r="J47" i="2"/>
  <c r="I47" i="2"/>
  <c r="I48" i="2" s="1"/>
  <c r="I61" i="2" s="1"/>
  <c r="I76" i="2" s="1"/>
  <c r="H47" i="2"/>
  <c r="H48" i="2" s="1"/>
  <c r="F47" i="2"/>
  <c r="E47" i="2"/>
  <c r="E48" i="2" s="1"/>
  <c r="E61" i="2" s="1"/>
  <c r="E76" i="2" s="1"/>
  <c r="D47" i="2"/>
  <c r="D48" i="2" s="1"/>
  <c r="J46" i="2"/>
  <c r="F46" i="2"/>
  <c r="J45" i="2"/>
  <c r="F45" i="2"/>
  <c r="J44" i="2"/>
  <c r="F44" i="2"/>
  <c r="J43" i="2"/>
  <c r="F43" i="2"/>
  <c r="J42" i="2"/>
  <c r="F42" i="2"/>
  <c r="J41" i="2"/>
  <c r="F41" i="2"/>
  <c r="J40" i="2"/>
  <c r="F40" i="2"/>
  <c r="J39" i="2"/>
  <c r="F39" i="2"/>
  <c r="I38" i="2"/>
  <c r="H38" i="2"/>
  <c r="J38" i="2" s="1"/>
  <c r="E38" i="2"/>
  <c r="D38" i="2"/>
  <c r="F38" i="2" s="1"/>
  <c r="J37" i="2"/>
  <c r="F37" i="2"/>
  <c r="J36" i="2"/>
  <c r="F36" i="2"/>
  <c r="J35" i="2"/>
  <c r="F35" i="2"/>
  <c r="J34" i="2"/>
  <c r="F34" i="2"/>
  <c r="J33" i="2"/>
  <c r="F33" i="2"/>
  <c r="J32" i="2"/>
  <c r="F32" i="2"/>
  <c r="J28" i="2"/>
  <c r="F28" i="2"/>
  <c r="J25" i="2"/>
  <c r="I25" i="2"/>
  <c r="I26" i="2" s="1"/>
  <c r="I29" i="2" s="1"/>
  <c r="I77" i="2" s="1"/>
  <c r="H25" i="2"/>
  <c r="F25" i="2"/>
  <c r="E25" i="2"/>
  <c r="E26" i="2" s="1"/>
  <c r="E29" i="2" s="1"/>
  <c r="E77" i="2" s="1"/>
  <c r="D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I15" i="2"/>
  <c r="E15" i="2"/>
  <c r="J14" i="2"/>
  <c r="H14" i="2"/>
  <c r="D14" i="2"/>
  <c r="F14" i="2" s="1"/>
  <c r="J13" i="2"/>
  <c r="H13" i="2"/>
  <c r="H15" i="2" s="1"/>
  <c r="J15" i="2" s="1"/>
  <c r="F13" i="2"/>
  <c r="D13" i="2"/>
  <c r="D15" i="2" s="1"/>
  <c r="F15" i="2" s="1"/>
  <c r="J12" i="2"/>
  <c r="F12" i="2"/>
  <c r="J11" i="2"/>
  <c r="F11" i="2"/>
  <c r="J10" i="2"/>
  <c r="I10" i="2"/>
  <c r="H10" i="2"/>
  <c r="F10" i="2"/>
  <c r="E10" i="2"/>
  <c r="D10" i="2"/>
  <c r="J9" i="2"/>
  <c r="F9" i="2"/>
  <c r="J8" i="2"/>
  <c r="F8" i="2"/>
  <c r="J7" i="2"/>
  <c r="F7" i="2"/>
  <c r="D61" i="2" l="1"/>
  <c r="F48" i="2"/>
  <c r="H61" i="2"/>
  <c r="J48" i="2"/>
  <c r="H74" i="2"/>
  <c r="J74" i="2" s="1"/>
  <c r="D26" i="2"/>
  <c r="H26" i="2"/>
  <c r="H29" i="2" l="1"/>
  <c r="J29" i="2" s="1"/>
  <c r="J26" i="2"/>
  <c r="D29" i="2"/>
  <c r="F26" i="2"/>
  <c r="F29" i="2" s="1"/>
  <c r="H76" i="2"/>
  <c r="J61" i="2"/>
  <c r="J76" i="2" s="1"/>
  <c r="D76" i="2"/>
  <c r="F61" i="2"/>
  <c r="F76" i="2" s="1"/>
  <c r="I72" i="1" l="1"/>
  <c r="E72" i="1"/>
  <c r="D72" i="1" s="1"/>
  <c r="I71" i="1"/>
  <c r="E71" i="1"/>
  <c r="D71" i="1" s="1"/>
  <c r="I70" i="1"/>
  <c r="I73" i="1" s="1"/>
  <c r="E70" i="1"/>
  <c r="E73" i="1" s="1"/>
  <c r="E74" i="1" s="1"/>
  <c r="E69" i="1"/>
  <c r="I68" i="1"/>
  <c r="D68" i="1"/>
  <c r="H68" i="1" s="1"/>
  <c r="J68" i="1" s="1"/>
  <c r="I67" i="1"/>
  <c r="H67" i="1"/>
  <c r="J67" i="1" s="1"/>
  <c r="F67" i="1"/>
  <c r="D67" i="1"/>
  <c r="I66" i="1"/>
  <c r="H66" i="1" s="1"/>
  <c r="J66" i="1" s="1"/>
  <c r="F66" i="1"/>
  <c r="D66" i="1"/>
  <c r="I65" i="1"/>
  <c r="H65" i="1" s="1"/>
  <c r="J65" i="1" s="1"/>
  <c r="D65" i="1"/>
  <c r="F65" i="1" s="1"/>
  <c r="I64" i="1"/>
  <c r="H64" i="1"/>
  <c r="J64" i="1" s="1"/>
  <c r="F64" i="1"/>
  <c r="D64" i="1"/>
  <c r="I63" i="1"/>
  <c r="I69" i="1" s="1"/>
  <c r="F63" i="1"/>
  <c r="D63" i="1"/>
  <c r="D69" i="1" s="1"/>
  <c r="F69" i="1" s="1"/>
  <c r="H60" i="1"/>
  <c r="E60" i="1"/>
  <c r="D60" i="1"/>
  <c r="F60" i="1" s="1"/>
  <c r="I59" i="1"/>
  <c r="J59" i="1" s="1"/>
  <c r="F59" i="1"/>
  <c r="I58" i="1"/>
  <c r="J58" i="1" s="1"/>
  <c r="F58" i="1"/>
  <c r="I57" i="1"/>
  <c r="J57" i="1" s="1"/>
  <c r="F57" i="1"/>
  <c r="I56" i="1"/>
  <c r="J56" i="1" s="1"/>
  <c r="F56" i="1"/>
  <c r="I55" i="1"/>
  <c r="J55" i="1" s="1"/>
  <c r="F55" i="1"/>
  <c r="I54" i="1"/>
  <c r="J54" i="1" s="1"/>
  <c r="F54" i="1"/>
  <c r="I53" i="1"/>
  <c r="J53" i="1" s="1"/>
  <c r="F53" i="1"/>
  <c r="I52" i="1"/>
  <c r="J52" i="1" s="1"/>
  <c r="F52" i="1"/>
  <c r="I51" i="1"/>
  <c r="J51" i="1" s="1"/>
  <c r="F51" i="1"/>
  <c r="I50" i="1"/>
  <c r="J50" i="1" s="1"/>
  <c r="F50" i="1"/>
  <c r="I49" i="1"/>
  <c r="F49" i="1"/>
  <c r="H47" i="1"/>
  <c r="H48" i="1" s="1"/>
  <c r="E47" i="1"/>
  <c r="E48" i="1" s="1"/>
  <c r="E61" i="1" s="1"/>
  <c r="E76" i="1" s="1"/>
  <c r="D47" i="1"/>
  <c r="D48" i="1" s="1"/>
  <c r="I46" i="1"/>
  <c r="J46" i="1" s="1"/>
  <c r="F46" i="1"/>
  <c r="I45" i="1"/>
  <c r="J45" i="1" s="1"/>
  <c r="F45" i="1"/>
  <c r="I44" i="1"/>
  <c r="J44" i="1" s="1"/>
  <c r="F44" i="1"/>
  <c r="I43" i="1"/>
  <c r="J43" i="1" s="1"/>
  <c r="F43" i="1"/>
  <c r="I42" i="1"/>
  <c r="J42" i="1" s="1"/>
  <c r="F42" i="1"/>
  <c r="I41" i="1"/>
  <c r="J41" i="1" s="1"/>
  <c r="F41" i="1"/>
  <c r="I40" i="1"/>
  <c r="J40" i="1" s="1"/>
  <c r="F40" i="1"/>
  <c r="I39" i="1"/>
  <c r="I47" i="1" s="1"/>
  <c r="F39" i="1"/>
  <c r="H38" i="1"/>
  <c r="E38" i="1"/>
  <c r="D38" i="1"/>
  <c r="F38" i="1" s="1"/>
  <c r="J37" i="1"/>
  <c r="F37" i="1"/>
  <c r="I36" i="1"/>
  <c r="J36" i="1" s="1"/>
  <c r="F36" i="1"/>
  <c r="I35" i="1"/>
  <c r="J35" i="1" s="1"/>
  <c r="F35" i="1"/>
  <c r="I34" i="1"/>
  <c r="J34" i="1" s="1"/>
  <c r="F34" i="1"/>
  <c r="I33" i="1"/>
  <c r="J33" i="1" s="1"/>
  <c r="F33" i="1"/>
  <c r="I32" i="1"/>
  <c r="I38" i="1" s="1"/>
  <c r="F32" i="1"/>
  <c r="J28" i="1"/>
  <c r="F28" i="1"/>
  <c r="H25" i="1"/>
  <c r="H26" i="1" s="1"/>
  <c r="D25" i="1"/>
  <c r="D26" i="1" s="1"/>
  <c r="I24" i="1"/>
  <c r="J24" i="1" s="1"/>
  <c r="E24" i="1"/>
  <c r="F24" i="1" s="1"/>
  <c r="J23" i="1"/>
  <c r="F23" i="1"/>
  <c r="J22" i="1"/>
  <c r="F22" i="1"/>
  <c r="J21" i="1"/>
  <c r="F21" i="1"/>
  <c r="J20" i="1"/>
  <c r="I20" i="1"/>
  <c r="E20" i="1"/>
  <c r="F20" i="1" s="1"/>
  <c r="J19" i="1"/>
  <c r="F19" i="1"/>
  <c r="J18" i="1"/>
  <c r="F18" i="1"/>
  <c r="J17" i="1"/>
  <c r="F17" i="1"/>
  <c r="J16" i="1"/>
  <c r="F16" i="1"/>
  <c r="J15" i="1"/>
  <c r="I15" i="1"/>
  <c r="H15" i="1"/>
  <c r="F15" i="1"/>
  <c r="E15" i="1"/>
  <c r="D15" i="1"/>
  <c r="J14" i="1"/>
  <c r="F14" i="1"/>
  <c r="J13" i="1"/>
  <c r="F13" i="1"/>
  <c r="J12" i="1"/>
  <c r="F12" i="1"/>
  <c r="J11" i="1"/>
  <c r="F11" i="1"/>
  <c r="I10" i="1"/>
  <c r="J10" i="1" s="1"/>
  <c r="H10" i="1"/>
  <c r="E10" i="1"/>
  <c r="F10" i="1" s="1"/>
  <c r="D10" i="1"/>
  <c r="J9" i="1"/>
  <c r="F9" i="1"/>
  <c r="J8" i="1"/>
  <c r="F8" i="1"/>
  <c r="J7" i="1"/>
  <c r="F7" i="1"/>
  <c r="J32" i="1" l="1"/>
  <c r="I60" i="1"/>
  <c r="J38" i="1"/>
  <c r="I48" i="1"/>
  <c r="H29" i="1"/>
  <c r="H61" i="1"/>
  <c r="J48" i="1"/>
  <c r="D61" i="1"/>
  <c r="F48" i="1"/>
  <c r="J60" i="1"/>
  <c r="I74" i="1"/>
  <c r="H72" i="1"/>
  <c r="J72" i="1" s="1"/>
  <c r="F72" i="1"/>
  <c r="D29" i="1"/>
  <c r="H71" i="1"/>
  <c r="J71" i="1" s="1"/>
  <c r="F71" i="1"/>
  <c r="J39" i="1"/>
  <c r="F47" i="1"/>
  <c r="J47" i="1"/>
  <c r="J49" i="1"/>
  <c r="H63" i="1"/>
  <c r="F68" i="1"/>
  <c r="E25" i="1"/>
  <c r="I25" i="1"/>
  <c r="D70" i="1"/>
  <c r="I61" i="1" l="1"/>
  <c r="I76" i="1" s="1"/>
  <c r="J25" i="1"/>
  <c r="I26" i="1"/>
  <c r="J63" i="1"/>
  <c r="H69" i="1"/>
  <c r="J69" i="1" s="1"/>
  <c r="E26" i="1"/>
  <c r="F25" i="1"/>
  <c r="D73" i="1"/>
  <c r="D74" i="1" s="1"/>
  <c r="F74" i="1" s="1"/>
  <c r="H70" i="1"/>
  <c r="F70" i="1"/>
  <c r="F73" i="1" s="1"/>
  <c r="F61" i="1"/>
  <c r="J61" i="1"/>
  <c r="D76" i="1" l="1"/>
  <c r="F76" i="1"/>
  <c r="E29" i="1"/>
  <c r="E77" i="1" s="1"/>
  <c r="F26" i="1"/>
  <c r="F29" i="1" s="1"/>
  <c r="H73" i="1"/>
  <c r="H74" i="1" s="1"/>
  <c r="J70" i="1"/>
  <c r="J73" i="1" s="1"/>
  <c r="I29" i="1"/>
  <c r="J26" i="1"/>
  <c r="I77" i="1" l="1"/>
  <c r="J29" i="1"/>
  <c r="J74" i="1"/>
  <c r="J76" i="1" s="1"/>
  <c r="H76" i="1"/>
</calcChain>
</file>

<file path=xl/sharedStrings.xml><?xml version="1.0" encoding="utf-8"?>
<sst xmlns="http://schemas.openxmlformats.org/spreadsheetml/2006/main" count="243" uniqueCount="78">
  <si>
    <t>UNIVERSIDAD AUTONOMA DE CHIHUAHUA</t>
  </si>
  <si>
    <t>COMPARATIVO PRESUPUESTAL POR FONDOS</t>
  </si>
  <si>
    <t>EJERCICIO 2 0 1 2</t>
  </si>
  <si>
    <t>JULIO DEL 2012</t>
  </si>
  <si>
    <t xml:space="preserve"> ACUMULADO JULIO  2012</t>
  </si>
  <si>
    <t>PRESUPUESTO</t>
  </si>
  <si>
    <t>R E A L</t>
  </si>
  <si>
    <t>DIFERENCIA</t>
  </si>
  <si>
    <t>I  N  G  R  E  S  O  S:</t>
  </si>
  <si>
    <t>Subsidio Federal</t>
  </si>
  <si>
    <t>Subsidio Estatal</t>
  </si>
  <si>
    <t>Subsidio Estatal Extraordinario</t>
  </si>
  <si>
    <t>SUMA SUBSIDIOS</t>
  </si>
  <si>
    <t>Recursos PIFI</t>
  </si>
  <si>
    <t>Recursos Promep</t>
  </si>
  <si>
    <t>Recursos Construcción Campus II</t>
  </si>
  <si>
    <t>Recursos Convenios</t>
  </si>
  <si>
    <t>SUMA OTROS APOYOS FED.</t>
  </si>
  <si>
    <t>Insc., Coleg. y Exámenes Posgrado</t>
  </si>
  <si>
    <t>Insc., Coleg. y Exámenes Licenciatura</t>
  </si>
  <si>
    <t>Servicios Académicos y Profesionales</t>
  </si>
  <si>
    <t>Cuotas por Incorporación</t>
  </si>
  <si>
    <t>Donativos en Efectivo</t>
  </si>
  <si>
    <t>Impuesto Universitario Municipal</t>
  </si>
  <si>
    <t>Rendimientos Financieros</t>
  </si>
  <si>
    <t>Venta de Productos</t>
  </si>
  <si>
    <t>Otros Ingresos</t>
  </si>
  <si>
    <t>SUMA INGRESOS PROPIOS</t>
  </si>
  <si>
    <t>T O T A L    I N G R E S O S</t>
  </si>
  <si>
    <t>BECAS  Y  CONDONACIONES</t>
  </si>
  <si>
    <t>I N G R E S O S   N E T O S</t>
  </si>
  <si>
    <t>FONDO GENÉRICO</t>
  </si>
  <si>
    <t>E  G  R  E  S  O  S:</t>
  </si>
  <si>
    <t>Servicios Personales</t>
  </si>
  <si>
    <t>Servicios Generales</t>
  </si>
  <si>
    <t>Materiales de Consumo</t>
  </si>
  <si>
    <t>Mantenimiento y Conservación</t>
  </si>
  <si>
    <t>Apoyos</t>
  </si>
  <si>
    <t>Transferencia entre fondos</t>
  </si>
  <si>
    <t>SUMA GASTOS OPERACION</t>
  </si>
  <si>
    <t>Producción Agrícola</t>
  </si>
  <si>
    <t>Producción Frutícola</t>
  </si>
  <si>
    <t>Producción Ganadera</t>
  </si>
  <si>
    <t>Producción Avícola</t>
  </si>
  <si>
    <t>Producción de Cárnicos</t>
  </si>
  <si>
    <t>Producción Alimentos Balanceados</t>
  </si>
  <si>
    <t>Producción de Praderas</t>
  </si>
  <si>
    <t>Producción de Especies Menores</t>
  </si>
  <si>
    <t>SUMA COSTO PRODUCCION</t>
  </si>
  <si>
    <t>SUMAN GASTOS Y COSTOS</t>
  </si>
  <si>
    <t>Obras de Arte</t>
  </si>
  <si>
    <t>Acervo Bibliográfico</t>
  </si>
  <si>
    <t>Terrenos y predios</t>
  </si>
  <si>
    <t>Edificios y Construcciones</t>
  </si>
  <si>
    <t>Maquinaria</t>
  </si>
  <si>
    <t>Mobiliario y Equipo Oficina</t>
  </si>
  <si>
    <t>Mobiliario y Equipo Académico</t>
  </si>
  <si>
    <t>Equipo de Transporte</t>
  </si>
  <si>
    <t>Equipo de Cómputo</t>
  </si>
  <si>
    <t>Pié de Cría</t>
  </si>
  <si>
    <t>Otras Inversiones</t>
  </si>
  <si>
    <t>SUMA INVERSIONES</t>
  </si>
  <si>
    <t>TOTAL  EGRESOS F. GENÉRICO</t>
  </si>
  <si>
    <t>FONDO ESPECÍFICO</t>
  </si>
  <si>
    <t>Material de Consumo</t>
  </si>
  <si>
    <t>Becas Económicas</t>
  </si>
  <si>
    <t>SUMAN GASTOS DE OPERACIÓN</t>
  </si>
  <si>
    <t>Mobiliario y Equipo</t>
  </si>
  <si>
    <t>Otros</t>
  </si>
  <si>
    <t>SUMAN  INVERSIONES</t>
  </si>
  <si>
    <t>TOTAL EGRESOS F. ESPECIFICOS</t>
  </si>
  <si>
    <t>T O T A L    E G R E S O S</t>
  </si>
  <si>
    <t>REMANENTE</t>
  </si>
  <si>
    <t>AGOSTO DEL 2012</t>
  </si>
  <si>
    <t xml:space="preserve"> ACUMULADO AGOSTO  2012</t>
  </si>
  <si>
    <t>SEPTIEMBRE DEL 2012</t>
  </si>
  <si>
    <t xml:space="preserve"> ACUMULADO SEPTIEMBRE 2012</t>
  </si>
  <si>
    <t>DEFICIT/ REMANENTE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</si>
</sst>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_-;\-[$$-80A]* #,##0_-;_-[$$-80A]* &quot;-&quot;??_-;_-@_-"/>
    <numFmt numFmtId="165" formatCode="_(&quot;$&quot;* #,##0_);_(&quot;$&quot;* \(#,##0\);_(&quot;$&quot;* &quot;-&quot;??_);_(@_)"/>
    <numFmt numFmtId="166" formatCode="_(* #,##0_);_(* \(#,##0\);_(* &quot;-&quot;??_);_(@_)"/>
    <numFmt numFmtId="167" formatCode="_-* #,##0_-;\-* #,##0_-;_-* &quot;-&quot;??_-;_-@_-"/>
    <numFmt numFmtId="168" formatCode="#,##0.0000000"/>
    <numFmt numFmtId="169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1" xfId="0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3" fontId="6" fillId="0" borderId="12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center"/>
    </xf>
    <xf numFmtId="3" fontId="6" fillId="0" borderId="14" xfId="1" applyNumberFormat="1" applyFont="1" applyFill="1" applyBorder="1" applyAlignment="1">
      <alignment horizontal="center"/>
    </xf>
    <xf numFmtId="0" fontId="0" fillId="0" borderId="5" xfId="0" applyFill="1" applyBorder="1"/>
    <xf numFmtId="3" fontId="6" fillId="0" borderId="13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3" fontId="8" fillId="0" borderId="4" xfId="1" applyNumberFormat="1" applyFont="1" applyBorder="1"/>
    <xf numFmtId="3" fontId="8" fillId="0" borderId="16" xfId="1" applyNumberFormat="1" applyFont="1" applyBorder="1"/>
    <xf numFmtId="3" fontId="8" fillId="0" borderId="5" xfId="1" applyNumberFormat="1" applyFont="1" applyBorder="1"/>
    <xf numFmtId="0" fontId="0" fillId="0" borderId="5" xfId="0" applyBorder="1"/>
    <xf numFmtId="3" fontId="8" fillId="0" borderId="17" xfId="1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164" fontId="8" fillId="0" borderId="4" xfId="2" applyNumberFormat="1" applyFont="1" applyFill="1" applyBorder="1"/>
    <xf numFmtId="165" fontId="8" fillId="0" borderId="16" xfId="2" applyNumberFormat="1" applyFont="1" applyBorder="1"/>
    <xf numFmtId="165" fontId="8" fillId="0" borderId="5" xfId="2" applyNumberFormat="1" applyFont="1" applyBorder="1"/>
    <xf numFmtId="165" fontId="8" fillId="0" borderId="4" xfId="2" applyNumberFormat="1" applyFont="1" applyFill="1" applyBorder="1"/>
    <xf numFmtId="165" fontId="8" fillId="0" borderId="5" xfId="2" applyNumberFormat="1" applyFont="1" applyFill="1" applyBorder="1"/>
    <xf numFmtId="166" fontId="8" fillId="0" borderId="4" xfId="1" applyNumberFormat="1" applyFont="1" applyFill="1" applyBorder="1"/>
    <xf numFmtId="166" fontId="8" fillId="0" borderId="16" xfId="1" applyNumberFormat="1" applyFont="1" applyBorder="1"/>
    <xf numFmtId="166" fontId="8" fillId="0" borderId="5" xfId="1" applyNumberFormat="1" applyFont="1" applyBorder="1"/>
    <xf numFmtId="3" fontId="8" fillId="0" borderId="4" xfId="1" applyNumberFormat="1" applyFont="1" applyFill="1" applyBorder="1"/>
    <xf numFmtId="166" fontId="8" fillId="0" borderId="5" xfId="1" applyNumberFormat="1" applyFont="1" applyFill="1" applyBorder="1"/>
    <xf numFmtId="166" fontId="8" fillId="0" borderId="4" xfId="1" applyNumberFormat="1" applyFont="1" applyBorder="1"/>
    <xf numFmtId="43" fontId="0" fillId="0" borderId="5" xfId="1" applyFont="1" applyBorder="1"/>
    <xf numFmtId="3" fontId="9" fillId="0" borderId="18" xfId="1" applyNumberFormat="1" applyFont="1" applyBorder="1"/>
    <xf numFmtId="3" fontId="9" fillId="0" borderId="19" xfId="1" applyNumberFormat="1" applyFont="1" applyBorder="1"/>
    <xf numFmtId="166" fontId="9" fillId="0" borderId="20" xfId="1" applyNumberFormat="1" applyFont="1" applyBorder="1"/>
    <xf numFmtId="165" fontId="8" fillId="0" borderId="4" xfId="2" applyNumberFormat="1" applyFont="1" applyBorder="1"/>
    <xf numFmtId="43" fontId="8" fillId="0" borderId="5" xfId="1" applyFont="1" applyBorder="1"/>
    <xf numFmtId="167" fontId="8" fillId="0" borderId="5" xfId="1" applyNumberFormat="1" applyFont="1" applyBorder="1"/>
    <xf numFmtId="166" fontId="10" fillId="0" borderId="4" xfId="1" applyNumberFormat="1" applyFont="1" applyFill="1" applyBorder="1"/>
    <xf numFmtId="3" fontId="8" fillId="0" borderId="16" xfId="1" applyNumberFormat="1" applyFont="1" applyFill="1" applyBorder="1"/>
    <xf numFmtId="166" fontId="9" fillId="0" borderId="19" xfId="1" applyNumberFormat="1" applyFont="1" applyBorder="1"/>
    <xf numFmtId="165" fontId="5" fillId="2" borderId="18" xfId="2" applyNumberFormat="1" applyFont="1" applyFill="1" applyBorder="1"/>
    <xf numFmtId="165" fontId="5" fillId="2" borderId="19" xfId="2" applyNumberFormat="1" applyFont="1" applyFill="1" applyBorder="1"/>
    <xf numFmtId="165" fontId="5" fillId="2" borderId="20" xfId="2" applyNumberFormat="1" applyFont="1" applyFill="1" applyBorder="1"/>
    <xf numFmtId="165" fontId="5" fillId="0" borderId="18" xfId="2" applyNumberFormat="1" applyFont="1" applyFill="1" applyBorder="1"/>
    <xf numFmtId="165" fontId="5" fillId="0" borderId="19" xfId="2" applyNumberFormat="1" applyFont="1" applyFill="1" applyBorder="1"/>
    <xf numFmtId="165" fontId="5" fillId="0" borderId="20" xfId="2" applyNumberFormat="1" applyFont="1" applyFill="1" applyBorder="1"/>
    <xf numFmtId="3" fontId="10" fillId="0" borderId="18" xfId="1" applyNumberFormat="1" applyFont="1" applyBorder="1"/>
    <xf numFmtId="3" fontId="8" fillId="0" borderId="19" xfId="1" applyNumberFormat="1" applyFont="1" applyBorder="1"/>
    <xf numFmtId="165" fontId="8" fillId="0" borderId="20" xfId="2" applyNumberFormat="1" applyFont="1" applyBorder="1"/>
    <xf numFmtId="3" fontId="8" fillId="0" borderId="18" xfId="1" applyNumberFormat="1" applyFont="1" applyBorder="1"/>
    <xf numFmtId="0" fontId="11" fillId="0" borderId="4" xfId="0" applyFont="1" applyBorder="1"/>
    <xf numFmtId="168" fontId="8" fillId="0" borderId="4" xfId="1" applyNumberFormat="1" applyFont="1" applyBorder="1"/>
    <xf numFmtId="3" fontId="8" fillId="0" borderId="21" xfId="1" applyNumberFormat="1" applyFont="1" applyBorder="1"/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165" fontId="10" fillId="3" borderId="4" xfId="3" applyNumberFormat="1" applyFont="1" applyFill="1" applyBorder="1"/>
    <xf numFmtId="165" fontId="10" fillId="3" borderId="16" xfId="3" applyNumberFormat="1" applyFont="1" applyFill="1" applyBorder="1"/>
    <xf numFmtId="165" fontId="8" fillId="3" borderId="5" xfId="3" applyNumberFormat="1" applyFont="1" applyFill="1" applyBorder="1"/>
    <xf numFmtId="165" fontId="8" fillId="3" borderId="17" xfId="3" applyNumberFormat="1" applyFont="1" applyFill="1" applyBorder="1"/>
    <xf numFmtId="3" fontId="10" fillId="0" borderId="4" xfId="1" applyNumberFormat="1" applyFont="1" applyFill="1" applyBorder="1"/>
    <xf numFmtId="166" fontId="8" fillId="0" borderId="17" xfId="1" applyNumberFormat="1" applyFont="1" applyBorder="1"/>
    <xf numFmtId="0" fontId="8" fillId="0" borderId="0" xfId="0" applyFont="1" applyBorder="1"/>
    <xf numFmtId="43" fontId="8" fillId="0" borderId="12" xfId="1" applyFont="1" applyBorder="1"/>
    <xf numFmtId="43" fontId="8" fillId="0" borderId="13" xfId="1" applyFont="1" applyBorder="1"/>
    <xf numFmtId="166" fontId="8" fillId="0" borderId="14" xfId="1" applyNumberFormat="1" applyFont="1" applyBorder="1"/>
    <xf numFmtId="166" fontId="9" fillId="0" borderId="22" xfId="1" applyNumberFormat="1" applyFont="1" applyBorder="1"/>
    <xf numFmtId="165" fontId="10" fillId="3" borderId="21" xfId="3" applyNumberFormat="1" applyFont="1" applyFill="1" applyBorder="1"/>
    <xf numFmtId="166" fontId="0" fillId="0" borderId="5" xfId="1" applyNumberFormat="1" applyFont="1" applyBorder="1"/>
    <xf numFmtId="3" fontId="8" fillId="0" borderId="13" xfId="1" applyNumberFormat="1" applyFont="1" applyBorder="1"/>
    <xf numFmtId="3" fontId="12" fillId="3" borderId="19" xfId="1" applyNumberFormat="1" applyFont="1" applyFill="1" applyBorder="1"/>
    <xf numFmtId="3" fontId="12" fillId="3" borderId="18" xfId="1" applyNumberFormat="1" applyFont="1" applyFill="1" applyBorder="1"/>
    <xf numFmtId="165" fontId="10" fillId="0" borderId="23" xfId="3" applyNumberFormat="1" applyFont="1" applyFill="1" applyBorder="1"/>
    <xf numFmtId="165" fontId="10" fillId="0" borderId="16" xfId="3" applyNumberFormat="1" applyFont="1" applyFill="1" applyBorder="1"/>
    <xf numFmtId="165" fontId="8" fillId="0" borderId="5" xfId="3" applyNumberFormat="1" applyFont="1" applyFill="1" applyBorder="1"/>
    <xf numFmtId="166" fontId="8" fillId="0" borderId="23" xfId="1" applyNumberFormat="1" applyFont="1" applyFill="1" applyBorder="1"/>
    <xf numFmtId="166" fontId="10" fillId="0" borderId="16" xfId="1" applyNumberFormat="1" applyFont="1" applyFill="1" applyBorder="1"/>
    <xf numFmtId="43" fontId="8" fillId="0" borderId="16" xfId="1" applyFont="1" applyBorder="1"/>
    <xf numFmtId="3" fontId="9" fillId="3" borderId="18" xfId="1" applyNumberFormat="1" applyFont="1" applyFill="1" applyBorder="1"/>
    <xf numFmtId="3" fontId="9" fillId="3" borderId="19" xfId="1" applyNumberFormat="1" applyFont="1" applyFill="1" applyBorder="1"/>
    <xf numFmtId="3" fontId="5" fillId="2" borderId="18" xfId="1" applyNumberFormat="1" applyFont="1" applyFill="1" applyBorder="1"/>
    <xf numFmtId="3" fontId="5" fillId="2" borderId="19" xfId="1" applyNumberFormat="1" applyFont="1" applyFill="1" applyBorder="1"/>
    <xf numFmtId="165" fontId="5" fillId="2" borderId="22" xfId="2" applyNumberFormat="1" applyFont="1" applyFill="1" applyBorder="1"/>
    <xf numFmtId="3" fontId="8" fillId="0" borderId="4" xfId="2" applyNumberFormat="1" applyFont="1" applyBorder="1"/>
    <xf numFmtId="43" fontId="8" fillId="0" borderId="4" xfId="1" applyFont="1" applyBorder="1"/>
    <xf numFmtId="166" fontId="9" fillId="3" borderId="18" xfId="1" applyNumberFormat="1" applyFont="1" applyFill="1" applyBorder="1"/>
    <xf numFmtId="166" fontId="9" fillId="3" borderId="19" xfId="1" applyNumberFormat="1" applyFont="1" applyFill="1" applyBorder="1"/>
    <xf numFmtId="166" fontId="9" fillId="3" borderId="20" xfId="1" applyNumberFormat="1" applyFont="1" applyFill="1" applyBorder="1"/>
    <xf numFmtId="166" fontId="9" fillId="3" borderId="22" xfId="1" applyNumberFormat="1" applyFont="1" applyFill="1" applyBorder="1"/>
    <xf numFmtId="44" fontId="5" fillId="2" borderId="18" xfId="2" applyNumberFormat="1" applyFont="1" applyFill="1" applyBorder="1"/>
    <xf numFmtId="169" fontId="5" fillId="2" borderId="18" xfId="2" applyNumberFormat="1" applyFont="1" applyFill="1" applyBorder="1"/>
    <xf numFmtId="169" fontId="5" fillId="2" borderId="19" xfId="2" applyNumberFormat="1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3" fontId="8" fillId="0" borderId="6" xfId="1" applyNumberFormat="1" applyFont="1" applyBorder="1"/>
    <xf numFmtId="166" fontId="9" fillId="0" borderId="24" xfId="1" applyNumberFormat="1" applyFont="1" applyBorder="1"/>
    <xf numFmtId="3" fontId="8" fillId="0" borderId="8" xfId="1" applyNumberFormat="1" applyFont="1" applyBorder="1"/>
    <xf numFmtId="0" fontId="0" fillId="0" borderId="8" xfId="0" applyBorder="1"/>
    <xf numFmtId="3" fontId="8" fillId="0" borderId="25" xfId="1" applyNumberFormat="1" applyFont="1" applyBorder="1"/>
    <xf numFmtId="0" fontId="4" fillId="0" borderId="6" xfId="4" applyFont="1" applyBorder="1"/>
    <xf numFmtId="0" fontId="4" fillId="0" borderId="7" xfId="4" applyFont="1" applyBorder="1"/>
    <xf numFmtId="0" fontId="4" fillId="0" borderId="8" xfId="4" applyFont="1" applyBorder="1"/>
    <xf numFmtId="0" fontId="4" fillId="0" borderId="11" xfId="4" applyBorder="1"/>
    <xf numFmtId="0" fontId="5" fillId="0" borderId="9" xfId="4" applyFont="1" applyBorder="1"/>
    <xf numFmtId="0" fontId="5" fillId="0" borderId="10" xfId="4" applyFont="1" applyBorder="1"/>
    <xf numFmtId="0" fontId="5" fillId="0" borderId="11" xfId="4" applyFont="1" applyBorder="1"/>
    <xf numFmtId="3" fontId="6" fillId="0" borderId="9" xfId="1" applyNumberFormat="1" applyFont="1" applyFill="1" applyBorder="1" applyAlignment="1">
      <alignment horizontal="center"/>
    </xf>
    <xf numFmtId="3" fontId="6" fillId="0" borderId="26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0" fontId="4" fillId="0" borderId="5" xfId="4" applyFill="1" applyBorder="1"/>
    <xf numFmtId="0" fontId="7" fillId="0" borderId="4" xfId="4" applyFont="1" applyBorder="1" applyAlignment="1">
      <alignment horizontal="centerContinuous"/>
    </xf>
    <xf numFmtId="0" fontId="5" fillId="0" borderId="0" xfId="4" applyFont="1" applyBorder="1" applyAlignment="1">
      <alignment horizontal="centerContinuous"/>
    </xf>
    <xf numFmtId="0" fontId="5" fillId="0" borderId="5" xfId="4" applyFont="1" applyBorder="1" applyAlignment="1">
      <alignment horizontal="centerContinuous"/>
    </xf>
    <xf numFmtId="3" fontId="8" fillId="0" borderId="27" xfId="1" applyNumberFormat="1" applyFont="1" applyBorder="1"/>
    <xf numFmtId="0" fontId="4" fillId="0" borderId="5" xfId="4" applyBorder="1"/>
    <xf numFmtId="0" fontId="4" fillId="0" borderId="4" xfId="4" applyFont="1" applyBorder="1"/>
    <xf numFmtId="0" fontId="4" fillId="0" borderId="0" xfId="4" applyFont="1" applyBorder="1"/>
    <xf numFmtId="0" fontId="4" fillId="0" borderId="5" xfId="4" applyFont="1" applyBorder="1"/>
    <xf numFmtId="165" fontId="8" fillId="0" borderId="27" xfId="2" applyNumberFormat="1" applyFont="1" applyBorder="1"/>
    <xf numFmtId="166" fontId="8" fillId="0" borderId="27" xfId="5" applyNumberFormat="1" applyFont="1" applyBorder="1"/>
    <xf numFmtId="43" fontId="8" fillId="0" borderId="28" xfId="5" applyFont="1" applyBorder="1"/>
    <xf numFmtId="43" fontId="8" fillId="0" borderId="4" xfId="1" applyFont="1" applyFill="1" applyBorder="1"/>
    <xf numFmtId="43" fontId="8" fillId="0" borderId="27" xfId="5" applyFont="1" applyBorder="1"/>
    <xf numFmtId="0" fontId="5" fillId="0" borderId="0" xfId="4" applyFont="1" applyBorder="1"/>
    <xf numFmtId="3" fontId="9" fillId="0" borderId="29" xfId="5" applyNumberFormat="1" applyFont="1" applyBorder="1"/>
    <xf numFmtId="3" fontId="8" fillId="0" borderId="27" xfId="5" applyNumberFormat="1" applyFont="1" applyBorder="1"/>
    <xf numFmtId="43" fontId="8" fillId="0" borderId="5" xfId="1" applyNumberFormat="1" applyFont="1" applyBorder="1"/>
    <xf numFmtId="166" fontId="9" fillId="0" borderId="30" xfId="1" applyNumberFormat="1" applyFont="1" applyBorder="1"/>
    <xf numFmtId="0" fontId="5" fillId="0" borderId="5" xfId="4" applyFont="1" applyBorder="1"/>
    <xf numFmtId="165" fontId="5" fillId="2" borderId="29" xfId="2" applyNumberFormat="1" applyFont="1" applyFill="1" applyBorder="1"/>
    <xf numFmtId="165" fontId="5" fillId="0" borderId="29" xfId="2" applyNumberFormat="1" applyFont="1" applyFill="1" applyBorder="1"/>
    <xf numFmtId="3" fontId="8" fillId="0" borderId="29" xfId="5" applyNumberFormat="1" applyFont="1" applyBorder="1"/>
    <xf numFmtId="165" fontId="8" fillId="0" borderId="20" xfId="2" applyNumberFormat="1" applyFont="1" applyFill="1" applyBorder="1"/>
    <xf numFmtId="0" fontId="11" fillId="0" borderId="4" xfId="4" applyFont="1" applyBorder="1"/>
    <xf numFmtId="0" fontId="4" fillId="0" borderId="0" xfId="4" applyFont="1" applyBorder="1" applyAlignment="1">
      <alignment horizontal="centerContinuous"/>
    </xf>
    <xf numFmtId="0" fontId="4" fillId="0" borderId="5" xfId="4" applyFont="1" applyBorder="1" applyAlignment="1">
      <alignment horizontal="centerContinuous"/>
    </xf>
    <xf numFmtId="165" fontId="10" fillId="3" borderId="27" xfId="3" applyNumberFormat="1" applyFont="1" applyFill="1" applyBorder="1"/>
    <xf numFmtId="3" fontId="8" fillId="0" borderId="27" xfId="5" applyNumberFormat="1" applyFont="1" applyFill="1" applyBorder="1"/>
    <xf numFmtId="0" fontId="8" fillId="0" borderId="0" xfId="4" applyFont="1" applyBorder="1"/>
    <xf numFmtId="0" fontId="4" fillId="0" borderId="0" xfId="4"/>
    <xf numFmtId="166" fontId="10" fillId="3" borderId="27" xfId="5" applyNumberFormat="1" applyFont="1" applyFill="1" applyBorder="1"/>
    <xf numFmtId="3" fontId="12" fillId="3" borderId="29" xfId="5" applyNumberFormat="1" applyFont="1" applyFill="1" applyBorder="1"/>
    <xf numFmtId="3" fontId="9" fillId="3" borderId="29" xfId="5" applyNumberFormat="1" applyFont="1" applyFill="1" applyBorder="1"/>
    <xf numFmtId="165" fontId="10" fillId="0" borderId="4" xfId="3" applyNumberFormat="1" applyFont="1" applyFill="1" applyBorder="1"/>
    <xf numFmtId="165" fontId="10" fillId="0" borderId="27" xfId="3" applyNumberFormat="1" applyFont="1" applyFill="1" applyBorder="1"/>
    <xf numFmtId="165" fontId="8" fillId="0" borderId="27" xfId="2" applyNumberFormat="1" applyFont="1" applyFill="1" applyBorder="1"/>
    <xf numFmtId="166" fontId="8" fillId="0" borderId="27" xfId="5" applyNumberFormat="1" applyFont="1" applyFill="1" applyBorder="1"/>
    <xf numFmtId="166" fontId="10" fillId="0" borderId="27" xfId="5" applyNumberFormat="1" applyFont="1" applyFill="1" applyBorder="1"/>
    <xf numFmtId="43" fontId="8" fillId="0" borderId="27" xfId="5" applyFont="1" applyFill="1" applyBorder="1"/>
    <xf numFmtId="3" fontId="9" fillId="0" borderId="29" xfId="5" applyNumberFormat="1" applyFont="1" applyFill="1" applyBorder="1"/>
    <xf numFmtId="3" fontId="5" fillId="2" borderId="29" xfId="5" applyNumberFormat="1" applyFont="1" applyFill="1" applyBorder="1"/>
    <xf numFmtId="3" fontId="8" fillId="0" borderId="31" xfId="5" applyNumberFormat="1" applyFont="1" applyBorder="1"/>
    <xf numFmtId="3" fontId="8" fillId="0" borderId="31" xfId="5" applyNumberFormat="1" applyFont="1" applyFill="1" applyBorder="1"/>
    <xf numFmtId="166" fontId="9" fillId="3" borderId="29" xfId="5" applyNumberFormat="1" applyFont="1" applyFill="1" applyBorder="1"/>
    <xf numFmtId="166" fontId="5" fillId="2" borderId="20" xfId="1" applyNumberFormat="1" applyFont="1" applyFill="1" applyBorder="1"/>
    <xf numFmtId="169" fontId="5" fillId="2" borderId="29" xfId="2" applyNumberFormat="1" applyFont="1" applyFill="1" applyBorder="1"/>
    <xf numFmtId="0" fontId="9" fillId="0" borderId="6" xfId="4" applyFont="1" applyFill="1" applyBorder="1"/>
    <xf numFmtId="0" fontId="9" fillId="0" borderId="7" xfId="4" applyFont="1" applyFill="1" applyBorder="1"/>
    <xf numFmtId="0" fontId="9" fillId="0" borderId="8" xfId="4" applyFont="1" applyFill="1" applyBorder="1"/>
    <xf numFmtId="166" fontId="9" fillId="0" borderId="32" xfId="5" applyNumberFormat="1" applyFont="1" applyBorder="1"/>
    <xf numFmtId="0" fontId="4" fillId="0" borderId="8" xfId="4" applyBorder="1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4" fontId="2" fillId="0" borderId="1" xfId="4" applyNumberFormat="1" applyFont="1" applyBorder="1" applyAlignment="1">
      <alignment horizontal="center"/>
    </xf>
    <xf numFmtId="4" fontId="2" fillId="0" borderId="2" xfId="4" applyNumberFormat="1" applyFont="1" applyBorder="1" applyAlignment="1">
      <alignment horizontal="center"/>
    </xf>
    <xf numFmtId="4" fontId="2" fillId="0" borderId="3" xfId="4" applyNumberFormat="1" applyFont="1" applyBorder="1" applyAlignment="1">
      <alignment horizontal="center"/>
    </xf>
    <xf numFmtId="4" fontId="3" fillId="0" borderId="4" xfId="4" applyNumberFormat="1" applyFont="1" applyBorder="1" applyAlignment="1">
      <alignment horizontal="center"/>
    </xf>
    <xf numFmtId="4" fontId="3" fillId="0" borderId="0" xfId="4" applyNumberFormat="1" applyFont="1" applyBorder="1" applyAlignment="1">
      <alignment horizontal="center"/>
    </xf>
    <xf numFmtId="4" fontId="3" fillId="0" borderId="5" xfId="4" applyNumberFormat="1" applyFont="1" applyBorder="1" applyAlignment="1">
      <alignment horizontal="center"/>
    </xf>
    <xf numFmtId="4" fontId="3" fillId="0" borderId="6" xfId="4" applyNumberFormat="1" applyFont="1" applyBorder="1" applyAlignment="1">
      <alignment horizontal="center"/>
    </xf>
    <xf numFmtId="4" fontId="3" fillId="0" borderId="7" xfId="4" applyNumberFormat="1" applyFont="1" applyBorder="1" applyAlignment="1">
      <alignment horizontal="center"/>
    </xf>
    <xf numFmtId="4" fontId="3" fillId="0" borderId="8" xfId="4" applyNumberFormat="1" applyFont="1" applyBorder="1" applyAlignment="1">
      <alignment horizontal="center"/>
    </xf>
  </cellXfs>
  <cellStyles count="6">
    <cellStyle name="Millares" xfId="1" builtinId="3"/>
    <cellStyle name="Millares 2" xfId="5"/>
    <cellStyle name="Moneda" xfId="2" builtinId="4"/>
    <cellStyle name="Moneda_Libro2" xfId="3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tronato final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 ENERO"/>
      <sheetName val="GTOS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R33">
            <v>609480112.21999991</v>
          </cell>
        </row>
        <row r="35">
          <cell r="R35">
            <v>53537214.049999997</v>
          </cell>
        </row>
        <row r="36">
          <cell r="R36">
            <v>25705284.27</v>
          </cell>
        </row>
        <row r="37">
          <cell r="R37">
            <v>26073853.91</v>
          </cell>
        </row>
        <row r="39">
          <cell r="R39">
            <v>1069172.23</v>
          </cell>
        </row>
        <row r="40">
          <cell r="R40">
            <v>725634.78</v>
          </cell>
        </row>
        <row r="41">
          <cell r="R41">
            <v>2539505.94</v>
          </cell>
        </row>
        <row r="42">
          <cell r="R42">
            <v>314249.94999999995</v>
          </cell>
        </row>
        <row r="43">
          <cell r="R43">
            <v>440670.82</v>
          </cell>
        </row>
        <row r="44">
          <cell r="R44">
            <v>0</v>
          </cell>
        </row>
        <row r="45">
          <cell r="R45">
            <v>209854.56999999998</v>
          </cell>
        </row>
        <row r="46">
          <cell r="R46">
            <v>108420.32999999999</v>
          </cell>
        </row>
        <row r="51">
          <cell r="R51">
            <v>458100</v>
          </cell>
        </row>
        <row r="53">
          <cell r="R53">
            <v>6409114.6299999999</v>
          </cell>
        </row>
        <row r="54">
          <cell r="R54">
            <v>2011902.02</v>
          </cell>
        </row>
        <row r="55">
          <cell r="R55">
            <v>0</v>
          </cell>
        </row>
        <row r="56">
          <cell r="R56">
            <v>3391850.3499999996</v>
          </cell>
        </row>
      </sheetData>
      <sheetData sheetId="8">
        <row r="7">
          <cell r="J7">
            <v>455448036</v>
          </cell>
        </row>
      </sheetData>
      <sheetData sheetId="9">
        <row r="35">
          <cell r="S35">
            <v>94634999.599999994</v>
          </cell>
        </row>
        <row r="51">
          <cell r="S51">
            <v>17400</v>
          </cell>
        </row>
        <row r="52">
          <cell r="S52">
            <v>90120.5</v>
          </cell>
        </row>
        <row r="53">
          <cell r="S53">
            <v>85326500</v>
          </cell>
        </row>
        <row r="54">
          <cell r="S54">
            <v>47614164.590000004</v>
          </cell>
        </row>
        <row r="55">
          <cell r="S55">
            <v>35473</v>
          </cell>
        </row>
        <row r="56">
          <cell r="S56">
            <v>2508214.0499999998</v>
          </cell>
        </row>
        <row r="57">
          <cell r="S57">
            <v>2867787.88</v>
          </cell>
        </row>
        <row r="58">
          <cell r="S58">
            <v>481420</v>
          </cell>
        </row>
        <row r="59">
          <cell r="S59">
            <v>6740043.3599999994</v>
          </cell>
        </row>
        <row r="60">
          <cell r="S60">
            <v>1309815.8999999999</v>
          </cell>
        </row>
        <row r="61">
          <cell r="S61">
            <v>0</v>
          </cell>
        </row>
        <row r="67">
          <cell r="S67">
            <v>12508013.590000002</v>
          </cell>
        </row>
        <row r="73">
          <cell r="Q73">
            <v>0</v>
          </cell>
          <cell r="S73">
            <v>25200458.18</v>
          </cell>
        </row>
        <row r="74">
          <cell r="Q74">
            <v>8244200.79</v>
          </cell>
          <cell r="S74">
            <v>21723345.390000001</v>
          </cell>
        </row>
        <row r="75">
          <cell r="Q75">
            <v>0</v>
          </cell>
          <cell r="S75">
            <v>14485.57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tronato final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 ENERO"/>
      <sheetName val="GTOS ABRIL"/>
    </sheetNames>
    <sheetDataSet>
      <sheetData sheetId="0"/>
      <sheetData sheetId="1"/>
      <sheetData sheetId="2"/>
      <sheetData sheetId="3">
        <row r="63">
          <cell r="H63">
            <v>416500</v>
          </cell>
        </row>
        <row r="67">
          <cell r="H67">
            <v>0</v>
          </cell>
        </row>
        <row r="68">
          <cell r="H68">
            <v>3004123.88</v>
          </cell>
        </row>
        <row r="70">
          <cell r="H70">
            <v>25200458.18</v>
          </cell>
        </row>
        <row r="71">
          <cell r="H71">
            <v>13479143.6</v>
          </cell>
        </row>
        <row r="72">
          <cell r="H72">
            <v>14485.57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K7" sqref="K7"/>
    </sheetView>
  </sheetViews>
  <sheetFormatPr baseColWidth="10" defaultRowHeight="15" x14ac:dyDescent="0.25"/>
  <cols>
    <col min="1" max="1" width="3.42578125" customWidth="1"/>
    <col min="2" max="2" width="4" customWidth="1"/>
    <col min="3" max="3" width="32.42578125" customWidth="1"/>
    <col min="4" max="4" width="15.85546875" bestFit="1" customWidth="1"/>
    <col min="5" max="5" width="13.28515625" bestFit="1" customWidth="1"/>
    <col min="6" max="6" width="12.28515625" bestFit="1" customWidth="1"/>
    <col min="7" max="7" width="3.5703125" customWidth="1"/>
    <col min="8" max="9" width="14.85546875" bestFit="1" customWidth="1"/>
    <col min="10" max="10" width="12.85546875" bestFit="1" customWidth="1"/>
  </cols>
  <sheetData>
    <row r="1" spans="1:10" ht="18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ht="15.75" x14ac:dyDescent="0.25">
      <c r="A2" s="170" t="s">
        <v>1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16.5" thickBot="1" x14ac:dyDescent="0.3">
      <c r="A3" s="173" t="s">
        <v>2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ht="15.75" thickBot="1" x14ac:dyDescent="0.3">
      <c r="A4" s="1"/>
      <c r="B4" s="2"/>
      <c r="C4" s="3"/>
      <c r="D4" s="176" t="s">
        <v>3</v>
      </c>
      <c r="E4" s="177"/>
      <c r="F4" s="178"/>
      <c r="G4" s="4"/>
      <c r="H4" s="176" t="s">
        <v>4</v>
      </c>
      <c r="I4" s="177"/>
      <c r="J4" s="178"/>
    </row>
    <row r="5" spans="1:10" x14ac:dyDescent="0.25">
      <c r="A5" s="5"/>
      <c r="B5" s="6"/>
      <c r="C5" s="7"/>
      <c r="D5" s="8" t="s">
        <v>5</v>
      </c>
      <c r="E5" s="9" t="s">
        <v>6</v>
      </c>
      <c r="F5" s="10" t="s">
        <v>7</v>
      </c>
      <c r="G5" s="11"/>
      <c r="H5" s="8" t="s">
        <v>5</v>
      </c>
      <c r="I5" s="12" t="s">
        <v>6</v>
      </c>
      <c r="J5" s="13" t="s">
        <v>7</v>
      </c>
    </row>
    <row r="6" spans="1:10" x14ac:dyDescent="0.25">
      <c r="A6" s="14" t="s">
        <v>8</v>
      </c>
      <c r="B6" s="15"/>
      <c r="C6" s="16"/>
      <c r="D6" s="17"/>
      <c r="E6" s="18"/>
      <c r="F6" s="19"/>
      <c r="G6" s="20"/>
      <c r="H6" s="17"/>
      <c r="I6" s="18"/>
      <c r="J6" s="21"/>
    </row>
    <row r="7" spans="1:10" x14ac:dyDescent="0.25">
      <c r="A7" s="22" t="s">
        <v>9</v>
      </c>
      <c r="B7" s="23"/>
      <c r="C7" s="24"/>
      <c r="D7" s="25">
        <v>122486034</v>
      </c>
      <c r="E7" s="26">
        <v>89480036</v>
      </c>
      <c r="F7" s="27">
        <f>+E7-D7</f>
        <v>-33005998</v>
      </c>
      <c r="G7" s="20"/>
      <c r="H7" s="28">
        <v>505541663</v>
      </c>
      <c r="I7" s="26">
        <v>455448036</v>
      </c>
      <c r="J7" s="29">
        <f>+I7-H7</f>
        <v>-50093627</v>
      </c>
    </row>
    <row r="8" spans="1:10" x14ac:dyDescent="0.25">
      <c r="A8" s="22" t="s">
        <v>10</v>
      </c>
      <c r="B8" s="23"/>
      <c r="C8" s="24"/>
      <c r="D8" s="30">
        <v>28446732</v>
      </c>
      <c r="E8" s="31">
        <v>42195810</v>
      </c>
      <c r="F8" s="32">
        <f>+E8-D8</f>
        <v>13749078</v>
      </c>
      <c r="G8" s="20"/>
      <c r="H8" s="33">
        <v>256021960</v>
      </c>
      <c r="I8" s="18">
        <v>241322888</v>
      </c>
      <c r="J8" s="34">
        <f>+I8-H8</f>
        <v>-14699072</v>
      </c>
    </row>
    <row r="9" spans="1:10" x14ac:dyDescent="0.25">
      <c r="A9" s="22" t="s">
        <v>11</v>
      </c>
      <c r="B9" s="23"/>
      <c r="C9" s="24"/>
      <c r="D9" s="35"/>
      <c r="E9" s="31"/>
      <c r="F9" s="32">
        <f>+E9-D9</f>
        <v>0</v>
      </c>
      <c r="G9" s="36"/>
      <c r="H9" s="33">
        <v>0</v>
      </c>
      <c r="I9" s="31">
        <v>0</v>
      </c>
      <c r="J9" s="32">
        <f>+I9-H9</f>
        <v>0</v>
      </c>
    </row>
    <row r="10" spans="1:10" x14ac:dyDescent="0.25">
      <c r="A10" s="22"/>
      <c r="B10" s="6" t="s">
        <v>12</v>
      </c>
      <c r="C10" s="24"/>
      <c r="D10" s="37">
        <f>SUM(D7:D9)</f>
        <v>150932766</v>
      </c>
      <c r="E10" s="38">
        <f>SUM(E7:E9)</f>
        <v>131675846</v>
      </c>
      <c r="F10" s="39">
        <f>+D10-E10</f>
        <v>19256920</v>
      </c>
      <c r="G10" s="20"/>
      <c r="H10" s="37">
        <f>SUM(H7:H9)</f>
        <v>761563623</v>
      </c>
      <c r="I10" s="38">
        <f>+I7+I8+I9</f>
        <v>696770924</v>
      </c>
      <c r="J10" s="39">
        <f t="shared" ref="J10:J15" si="0">SUM(H10-I10)</f>
        <v>64792699</v>
      </c>
    </row>
    <row r="11" spans="1:10" x14ac:dyDescent="0.25">
      <c r="A11" s="22" t="s">
        <v>13</v>
      </c>
      <c r="B11" s="23"/>
      <c r="C11" s="24"/>
      <c r="D11" s="28">
        <v>13360297.699999999</v>
      </c>
      <c r="E11" s="26">
        <v>13360297.699999999</v>
      </c>
      <c r="F11" s="32">
        <f>+E11-D11</f>
        <v>0</v>
      </c>
      <c r="G11" s="20"/>
      <c r="H11" s="40">
        <v>27735226.969999999</v>
      </c>
      <c r="I11" s="26">
        <v>27735226.969999999</v>
      </c>
      <c r="J11" s="27">
        <f t="shared" si="0"/>
        <v>0</v>
      </c>
    </row>
    <row r="12" spans="1:10" x14ac:dyDescent="0.25">
      <c r="A12" s="22" t="s">
        <v>14</v>
      </c>
      <c r="B12" s="23"/>
      <c r="C12" s="24"/>
      <c r="D12" s="33">
        <v>734849.46</v>
      </c>
      <c r="E12" s="18">
        <v>734849.46</v>
      </c>
      <c r="F12" s="32">
        <f>+E12-D12</f>
        <v>0</v>
      </c>
      <c r="G12" s="20"/>
      <c r="H12" s="17">
        <v>6861069.71</v>
      </c>
      <c r="I12" s="18">
        <v>6861069.71</v>
      </c>
      <c r="J12" s="41">
        <f t="shared" si="0"/>
        <v>0</v>
      </c>
    </row>
    <row r="13" spans="1:10" x14ac:dyDescent="0.25">
      <c r="A13" s="22" t="s">
        <v>15</v>
      </c>
      <c r="B13" s="23"/>
      <c r="C13" s="24"/>
      <c r="D13" s="30">
        <v>0</v>
      </c>
      <c r="E13" s="31">
        <v>0</v>
      </c>
      <c r="F13" s="32">
        <f>+E13-D13</f>
        <v>0</v>
      </c>
      <c r="G13" s="20"/>
      <c r="H13" s="35">
        <v>25200458.18</v>
      </c>
      <c r="I13" s="31">
        <v>25200458.18</v>
      </c>
      <c r="J13" s="41">
        <f t="shared" si="0"/>
        <v>0</v>
      </c>
    </row>
    <row r="14" spans="1:10" x14ac:dyDescent="0.25">
      <c r="A14" s="22" t="s">
        <v>16</v>
      </c>
      <c r="B14" s="23"/>
      <c r="C14" s="24"/>
      <c r="D14" s="33">
        <v>713083.75</v>
      </c>
      <c r="E14" s="18">
        <v>713083.75</v>
      </c>
      <c r="F14" s="32">
        <f>+E14-D14</f>
        <v>0</v>
      </c>
      <c r="G14" s="20"/>
      <c r="H14" s="17">
        <v>9716622.3499999996</v>
      </c>
      <c r="I14" s="18">
        <v>9716622.3499999996</v>
      </c>
      <c r="J14" s="41">
        <f t="shared" si="0"/>
        <v>0</v>
      </c>
    </row>
    <row r="15" spans="1:10" x14ac:dyDescent="0.25">
      <c r="A15" s="22"/>
      <c r="B15" s="6" t="s">
        <v>17</v>
      </c>
      <c r="C15" s="24"/>
      <c r="D15" s="37">
        <f>SUM(D11:D14)</f>
        <v>14808230.91</v>
      </c>
      <c r="E15" s="38">
        <f>SUM(E11:E14)</f>
        <v>14808230.91</v>
      </c>
      <c r="F15" s="39">
        <f>+D15-E15</f>
        <v>0</v>
      </c>
      <c r="G15" s="20"/>
      <c r="H15" s="37">
        <f>SUM(H11:H14)</f>
        <v>69513377.209999993</v>
      </c>
      <c r="I15" s="38">
        <f>+I11+I12+I13+I14</f>
        <v>69513377.209999993</v>
      </c>
      <c r="J15" s="39">
        <f t="shared" si="0"/>
        <v>0</v>
      </c>
    </row>
    <row r="16" spans="1:10" x14ac:dyDescent="0.25">
      <c r="A16" s="22" t="s">
        <v>18</v>
      </c>
      <c r="B16" s="23"/>
      <c r="C16" s="24"/>
      <c r="D16" s="40">
        <v>1089653.8686717039</v>
      </c>
      <c r="E16" s="26">
        <v>2482606</v>
      </c>
      <c r="F16" s="32">
        <f>+E16-D16</f>
        <v>1392952.1313282961</v>
      </c>
      <c r="G16" s="20"/>
      <c r="H16" s="40">
        <v>45324785.982933149</v>
      </c>
      <c r="I16" s="26">
        <v>58583867.399999999</v>
      </c>
      <c r="J16" s="27">
        <f>+I16-H16-1</f>
        <v>13259080.41706685</v>
      </c>
    </row>
    <row r="17" spans="1:10" x14ac:dyDescent="0.25">
      <c r="A17" s="22" t="s">
        <v>19</v>
      </c>
      <c r="B17" s="23"/>
      <c r="C17" s="24"/>
      <c r="D17" s="35">
        <v>520996.1750941007</v>
      </c>
      <c r="E17" s="18">
        <v>2991589.75</v>
      </c>
      <c r="F17" s="42">
        <f>+E17-D17+1</f>
        <v>2470594.5749058994</v>
      </c>
      <c r="G17" s="20"/>
      <c r="H17" s="17">
        <v>93309505.998982236</v>
      </c>
      <c r="I17" s="18">
        <v>117697517.82000001</v>
      </c>
      <c r="J17" s="32">
        <f>+I17-H17-1</f>
        <v>24388010.821017772</v>
      </c>
    </row>
    <row r="18" spans="1:10" x14ac:dyDescent="0.25">
      <c r="A18" s="22" t="s">
        <v>20</v>
      </c>
      <c r="B18" s="23"/>
      <c r="C18" s="24"/>
      <c r="D18" s="35">
        <v>3326021.7375224181</v>
      </c>
      <c r="E18" s="18">
        <v>3706900.18</v>
      </c>
      <c r="F18" s="32">
        <f t="shared" ref="F18:F23" si="1">+E18-D18</f>
        <v>380878.44247758202</v>
      </c>
      <c r="G18" s="20"/>
      <c r="H18" s="17">
        <v>40126703.720703371</v>
      </c>
      <c r="I18" s="18">
        <v>51857252.510000005</v>
      </c>
      <c r="J18" s="32">
        <f t="shared" ref="J18:J23" si="2">+I18-H18</f>
        <v>11730548.789296634</v>
      </c>
    </row>
    <row r="19" spans="1:10" x14ac:dyDescent="0.25">
      <c r="A19" s="22" t="s">
        <v>21</v>
      </c>
      <c r="B19" s="23"/>
      <c r="C19" s="24"/>
      <c r="D19" s="35">
        <v>204435.1423188198</v>
      </c>
      <c r="E19" s="18">
        <v>85978</v>
      </c>
      <c r="F19" s="32">
        <f t="shared" si="1"/>
        <v>-118457.1423188198</v>
      </c>
      <c r="G19" s="20"/>
      <c r="H19" s="17">
        <v>4203486.7714086007</v>
      </c>
      <c r="I19" s="18">
        <v>4051355</v>
      </c>
      <c r="J19" s="32">
        <f t="shared" si="2"/>
        <v>-152131.77140860073</v>
      </c>
    </row>
    <row r="20" spans="1:10" x14ac:dyDescent="0.25">
      <c r="A20" s="22" t="s">
        <v>22</v>
      </c>
      <c r="B20" s="23"/>
      <c r="C20" s="24"/>
      <c r="D20" s="35">
        <v>199835.44930430138</v>
      </c>
      <c r="E20" s="31">
        <f>-1000215.5+1246000</f>
        <v>245784.5</v>
      </c>
      <c r="F20" s="32">
        <f t="shared" si="1"/>
        <v>45949.050695698621</v>
      </c>
      <c r="G20" s="20"/>
      <c r="H20" s="17">
        <v>1118622.900880975</v>
      </c>
      <c r="I20" s="18">
        <f>2926375.43+1246000</f>
        <v>4172375.43</v>
      </c>
      <c r="J20" s="32">
        <f t="shared" si="2"/>
        <v>3053752.529119025</v>
      </c>
    </row>
    <row r="21" spans="1:10" x14ac:dyDescent="0.25">
      <c r="A21" s="22" t="s">
        <v>23</v>
      </c>
      <c r="B21" s="23"/>
      <c r="C21" s="24"/>
      <c r="D21" s="35">
        <v>819282.08977541793</v>
      </c>
      <c r="E21" s="18">
        <v>3043005.73</v>
      </c>
      <c r="F21" s="32">
        <f t="shared" si="1"/>
        <v>2223723.640224582</v>
      </c>
      <c r="G21" s="20"/>
      <c r="H21" s="17">
        <v>20473146.907501668</v>
      </c>
      <c r="I21" s="18">
        <v>24086980.93</v>
      </c>
      <c r="J21" s="32">
        <f t="shared" si="2"/>
        <v>3613834.022498332</v>
      </c>
    </row>
    <row r="22" spans="1:10" x14ac:dyDescent="0.25">
      <c r="A22" s="22" t="s">
        <v>24</v>
      </c>
      <c r="B22" s="23"/>
      <c r="C22" s="24"/>
      <c r="D22" s="35">
        <v>207892.96898535296</v>
      </c>
      <c r="E22" s="18">
        <v>529978.43000000005</v>
      </c>
      <c r="F22" s="32">
        <f t="shared" si="1"/>
        <v>322085.46101464709</v>
      </c>
      <c r="G22" s="20"/>
      <c r="H22" s="17">
        <v>2121358.6667823968</v>
      </c>
      <c r="I22" s="18">
        <v>3382469.22</v>
      </c>
      <c r="J22" s="32">
        <f t="shared" si="2"/>
        <v>1261110.5532176034</v>
      </c>
    </row>
    <row r="23" spans="1:10" x14ac:dyDescent="0.25">
      <c r="A23" s="22" t="s">
        <v>25</v>
      </c>
      <c r="B23" s="23"/>
      <c r="C23" s="24"/>
      <c r="D23" s="35">
        <v>272535.92329531338</v>
      </c>
      <c r="E23" s="18">
        <v>401549.9</v>
      </c>
      <c r="F23" s="32">
        <f t="shared" si="1"/>
        <v>129013.97670468665</v>
      </c>
      <c r="G23" s="20"/>
      <c r="H23" s="17">
        <v>3513234</v>
      </c>
      <c r="I23" s="18">
        <v>5456262.9000000004</v>
      </c>
      <c r="J23" s="32">
        <f t="shared" si="2"/>
        <v>1943028.9000000004</v>
      </c>
    </row>
    <row r="24" spans="1:10" x14ac:dyDescent="0.25">
      <c r="A24" s="22" t="s">
        <v>26</v>
      </c>
      <c r="B24" s="23"/>
      <c r="C24" s="24"/>
      <c r="D24" s="43">
        <v>9195936.8267946765</v>
      </c>
      <c r="E24" s="44">
        <f>2504050.87-1246000-1</f>
        <v>1258049.8700000001</v>
      </c>
      <c r="F24" s="34">
        <f>+E24-D24</f>
        <v>-7937886.9567946764</v>
      </c>
      <c r="G24" s="11"/>
      <c r="H24" s="33">
        <v>16207714.161170661</v>
      </c>
      <c r="I24" s="18">
        <f>113130016.33-3-1246000</f>
        <v>111884013.33</v>
      </c>
      <c r="J24" s="32">
        <f>+I24-H24</f>
        <v>95676299.168829337</v>
      </c>
    </row>
    <row r="25" spans="1:10" x14ac:dyDescent="0.25">
      <c r="A25" s="22"/>
      <c r="B25" s="6" t="s">
        <v>27</v>
      </c>
      <c r="C25" s="24"/>
      <c r="D25" s="37">
        <f>SUM(D16:D24)</f>
        <v>15836590.181762103</v>
      </c>
      <c r="E25" s="38">
        <f>SUM(E16:E24)+1</f>
        <v>14745443.359999999</v>
      </c>
      <c r="F25" s="39">
        <f>+D25-E25</f>
        <v>1091146.8217621036</v>
      </c>
      <c r="G25" s="20"/>
      <c r="H25" s="37">
        <f>SUM(H16:H24)+1</f>
        <v>226398560.11036304</v>
      </c>
      <c r="I25" s="38">
        <f>SUM(I16:I24)-1</f>
        <v>381172093.54000002</v>
      </c>
      <c r="J25" s="45">
        <f>SUM(H25-I25)</f>
        <v>-154773533.42963699</v>
      </c>
    </row>
    <row r="26" spans="1:10" x14ac:dyDescent="0.25">
      <c r="A26" s="22"/>
      <c r="B26" s="23"/>
      <c r="C26" s="7" t="s">
        <v>28</v>
      </c>
      <c r="D26" s="46">
        <f>SUM(D25,D15,D10)</f>
        <v>181577587.0917621</v>
      </c>
      <c r="E26" s="47">
        <f>SUM(E25,E15,E10)</f>
        <v>161229520.27000001</v>
      </c>
      <c r="F26" s="48">
        <f>+D26-E26</f>
        <v>20348066.821762085</v>
      </c>
      <c r="G26" s="20"/>
      <c r="H26" s="46">
        <f>SUM(H25,H15,H10)</f>
        <v>1057475560.320363</v>
      </c>
      <c r="I26" s="47">
        <f>SUM(I25,I15,I10)</f>
        <v>1147456394.75</v>
      </c>
      <c r="J26" s="48">
        <f>SUM(H26-I26)+1</f>
        <v>-89980833.429636955</v>
      </c>
    </row>
    <row r="27" spans="1:10" x14ac:dyDescent="0.25">
      <c r="A27" s="22"/>
      <c r="B27" s="23"/>
      <c r="C27" s="7"/>
      <c r="D27" s="49"/>
      <c r="E27" s="50"/>
      <c r="F27" s="51"/>
      <c r="G27" s="20"/>
      <c r="H27" s="49"/>
      <c r="I27" s="50"/>
      <c r="J27" s="51"/>
    </row>
    <row r="28" spans="1:10" x14ac:dyDescent="0.25">
      <c r="A28" s="22"/>
      <c r="B28" s="23" t="s">
        <v>29</v>
      </c>
      <c r="C28" s="7"/>
      <c r="D28" s="52">
        <v>630946.82573901734</v>
      </c>
      <c r="E28" s="53">
        <v>1117839.45</v>
      </c>
      <c r="F28" s="54">
        <f>+E28-D28</f>
        <v>486892.62426098261</v>
      </c>
      <c r="G28" s="20"/>
      <c r="H28" s="55">
        <v>30645288.69427605</v>
      </c>
      <c r="I28" s="53">
        <v>38143375</v>
      </c>
      <c r="J28" s="54">
        <f>+I28-H28</f>
        <v>7498086.3057239503</v>
      </c>
    </row>
    <row r="29" spans="1:10" x14ac:dyDescent="0.25">
      <c r="A29" s="22"/>
      <c r="B29" s="23"/>
      <c r="C29" s="7" t="s">
        <v>30</v>
      </c>
      <c r="D29" s="46">
        <f>SUM(D26-D28)</f>
        <v>180946640.26602307</v>
      </c>
      <c r="E29" s="47">
        <f>SUM(E26-E28)</f>
        <v>160111680.82000002</v>
      </c>
      <c r="F29" s="48">
        <f>SUM(F26-F28)+2</f>
        <v>19861176.197501101</v>
      </c>
      <c r="G29" s="20"/>
      <c r="H29" s="46">
        <f>SUM(H26-H28)-1</f>
        <v>1026830270.626087</v>
      </c>
      <c r="I29" s="47">
        <f>SUM(I26-I28)</f>
        <v>1109313019.75</v>
      </c>
      <c r="J29" s="48">
        <f>+H29-I29</f>
        <v>-82482749.12391305</v>
      </c>
    </row>
    <row r="30" spans="1:10" x14ac:dyDescent="0.25">
      <c r="A30" s="56" t="s">
        <v>31</v>
      </c>
      <c r="B30" s="23"/>
      <c r="C30" s="24"/>
      <c r="D30" s="57"/>
      <c r="E30" s="58"/>
      <c r="F30" s="19"/>
      <c r="G30" s="20"/>
      <c r="H30" s="17"/>
      <c r="I30" s="18"/>
      <c r="J30" s="21"/>
    </row>
    <row r="31" spans="1:10" x14ac:dyDescent="0.25">
      <c r="A31" s="14" t="s">
        <v>32</v>
      </c>
      <c r="B31" s="59"/>
      <c r="C31" s="60"/>
      <c r="D31" s="17"/>
      <c r="E31" s="18"/>
      <c r="F31" s="19"/>
      <c r="G31" s="20"/>
      <c r="H31" s="17"/>
      <c r="I31" s="18"/>
      <c r="J31" s="21"/>
    </row>
    <row r="32" spans="1:10" x14ac:dyDescent="0.25">
      <c r="A32" s="22" t="s">
        <v>33</v>
      </c>
      <c r="B32" s="23"/>
      <c r="C32" s="24"/>
      <c r="D32" s="61">
        <v>85296016.616956249</v>
      </c>
      <c r="E32" s="62">
        <v>85499910.719999999</v>
      </c>
      <c r="F32" s="63">
        <f>+D32-E32</f>
        <v>-203894.10304374993</v>
      </c>
      <c r="G32" s="20"/>
      <c r="H32" s="28">
        <v>615064912.67346013</v>
      </c>
      <c r="I32" s="26">
        <f>+[1]RDOACUM!R33</f>
        <v>609480112.21999991</v>
      </c>
      <c r="J32" s="64">
        <f>+H32-I32</f>
        <v>5584800.4534602165</v>
      </c>
    </row>
    <row r="33" spans="1:10" x14ac:dyDescent="0.25">
      <c r="A33" s="22" t="s">
        <v>34</v>
      </c>
      <c r="B33" s="23"/>
      <c r="C33" s="24"/>
      <c r="D33" s="65">
        <v>8388661.1413728781</v>
      </c>
      <c r="E33" s="44">
        <v>7801365.6600000001</v>
      </c>
      <c r="F33" s="34">
        <f>+D33-E33</f>
        <v>587295.48137287796</v>
      </c>
      <c r="G33" s="11"/>
      <c r="H33" s="33">
        <v>76731997.560993627</v>
      </c>
      <c r="I33" s="18">
        <f>+[1]IYE!S35</f>
        <v>94634999.599999994</v>
      </c>
      <c r="J33" s="66">
        <f>+H33-I33</f>
        <v>-17903002.039006367</v>
      </c>
    </row>
    <row r="34" spans="1:10" x14ac:dyDescent="0.25">
      <c r="A34" s="22" t="s">
        <v>35</v>
      </c>
      <c r="B34" s="23"/>
      <c r="C34" s="24"/>
      <c r="D34" s="65">
        <v>3027014.9772924623</v>
      </c>
      <c r="E34" s="44">
        <v>1521559.13</v>
      </c>
      <c r="F34" s="34">
        <f t="shared" ref="F34:F36" si="3">+D34-E34</f>
        <v>1505455.8472924624</v>
      </c>
      <c r="G34" s="11"/>
      <c r="H34" s="33">
        <v>45455866.870288089</v>
      </c>
      <c r="I34" s="18">
        <f>+[1]RDOACUM!R35</f>
        <v>53537214.049999997</v>
      </c>
      <c r="J34" s="66">
        <f t="shared" ref="J34:J36" si="4">+H34-I34</f>
        <v>-8081347.1797119081</v>
      </c>
    </row>
    <row r="35" spans="1:10" x14ac:dyDescent="0.25">
      <c r="A35" s="22" t="s">
        <v>36</v>
      </c>
      <c r="B35" s="23"/>
      <c r="C35" s="24"/>
      <c r="D35" s="65">
        <v>3097068.4527003956</v>
      </c>
      <c r="E35" s="44">
        <v>2345645.66</v>
      </c>
      <c r="F35" s="34">
        <f t="shared" si="3"/>
        <v>751422.79270039545</v>
      </c>
      <c r="G35" s="11"/>
      <c r="H35" s="33">
        <v>24950374.682115618</v>
      </c>
      <c r="I35" s="18">
        <f>+[1]RDOACUM!R36</f>
        <v>25705284.27</v>
      </c>
      <c r="J35" s="66">
        <f t="shared" si="4"/>
        <v>-754909.58788438141</v>
      </c>
    </row>
    <row r="36" spans="1:10" x14ac:dyDescent="0.25">
      <c r="A36" s="22" t="s">
        <v>37</v>
      </c>
      <c r="B36" s="23"/>
      <c r="C36" s="24"/>
      <c r="D36" s="65">
        <v>965467.57235099596</v>
      </c>
      <c r="E36" s="44">
        <v>1289714.28</v>
      </c>
      <c r="F36" s="34">
        <f t="shared" si="3"/>
        <v>-324246.70764900406</v>
      </c>
      <c r="G36" s="11"/>
      <c r="H36" s="33">
        <v>28394679.737403791</v>
      </c>
      <c r="I36" s="18">
        <f>+[1]RDOACUM!R37-1</f>
        <v>26073852.91</v>
      </c>
      <c r="J36" s="66">
        <f t="shared" si="4"/>
        <v>2320826.8274037912</v>
      </c>
    </row>
    <row r="37" spans="1:10" x14ac:dyDescent="0.25">
      <c r="A37" s="22" t="s">
        <v>38</v>
      </c>
      <c r="B37" s="67"/>
      <c r="C37" s="67"/>
      <c r="D37" s="68">
        <v>0</v>
      </c>
      <c r="E37" s="69">
        <v>0</v>
      </c>
      <c r="F37" s="70">
        <f>+D37-E37</f>
        <v>0</v>
      </c>
      <c r="H37" s="68">
        <v>0</v>
      </c>
      <c r="I37" s="69">
        <v>0</v>
      </c>
      <c r="J37" s="32">
        <f>+H37-I37</f>
        <v>0</v>
      </c>
    </row>
    <row r="38" spans="1:10" x14ac:dyDescent="0.25">
      <c r="A38" s="22"/>
      <c r="B38" s="6" t="s">
        <v>39</v>
      </c>
      <c r="C38" s="24"/>
      <c r="D38" s="37">
        <f>SUM(D32:D37)</f>
        <v>100774228.76067297</v>
      </c>
      <c r="E38" s="38">
        <f>SUM(E32:E37)+1</f>
        <v>98458196.449999988</v>
      </c>
      <c r="F38" s="39">
        <f t="shared" ref="F38:F69" si="5">SUM(D38-E38)</f>
        <v>2316032.3106729835</v>
      </c>
      <c r="G38" s="20"/>
      <c r="H38" s="37">
        <f>SUM(H32:H37)+1</f>
        <v>790597832.52426136</v>
      </c>
      <c r="I38" s="38">
        <f>SUM(I32:I37)</f>
        <v>809431463.04999983</v>
      </c>
      <c r="J38" s="71">
        <f t="shared" ref="J38" si="6">SUM(H38-I38)</f>
        <v>-18833630.525738478</v>
      </c>
    </row>
    <row r="39" spans="1:10" x14ac:dyDescent="0.25">
      <c r="A39" s="22" t="s">
        <v>40</v>
      </c>
      <c r="B39" s="23"/>
      <c r="C39" s="24"/>
      <c r="D39" s="61">
        <v>133656.86681707934</v>
      </c>
      <c r="E39" s="72">
        <v>67600.350000000006</v>
      </c>
      <c r="F39" s="63">
        <f>+D39-E39</f>
        <v>66056.516817079333</v>
      </c>
      <c r="G39" s="20"/>
      <c r="H39" s="40">
        <v>685249.078550259</v>
      </c>
      <c r="I39" s="26">
        <f>+[1]RDOACUM!R39</f>
        <v>1069172.23</v>
      </c>
      <c r="J39" s="64">
        <f>+H39-I39</f>
        <v>-383923.15144974098</v>
      </c>
    </row>
    <row r="40" spans="1:10" x14ac:dyDescent="0.25">
      <c r="A40" s="22" t="s">
        <v>41</v>
      </c>
      <c r="B40" s="23"/>
      <c r="C40" s="24"/>
      <c r="D40" s="17">
        <v>74715.859323034601</v>
      </c>
      <c r="E40" s="18">
        <v>16723.39</v>
      </c>
      <c r="F40" s="32">
        <f>+D40-E40</f>
        <v>57992.469323034602</v>
      </c>
      <c r="G40" s="20"/>
      <c r="H40" s="17">
        <v>872356.61314440402</v>
      </c>
      <c r="I40" s="18">
        <f>+[1]RDOACUM!R40</f>
        <v>725634.78</v>
      </c>
      <c r="J40" s="66">
        <f>+H40-I40</f>
        <v>146721.83314440399</v>
      </c>
    </row>
    <row r="41" spans="1:10" x14ac:dyDescent="0.25">
      <c r="A41" s="22" t="s">
        <v>42</v>
      </c>
      <c r="B41" s="23"/>
      <c r="C41" s="24"/>
      <c r="D41" s="17">
        <v>185413.26003023813</v>
      </c>
      <c r="E41" s="18">
        <v>247071.04</v>
      </c>
      <c r="F41" s="32">
        <f t="shared" ref="F41:F45" si="7">+D41-E41</f>
        <v>-61657.779969761876</v>
      </c>
      <c r="G41" s="20"/>
      <c r="H41" s="17">
        <v>2089856.0239348428</v>
      </c>
      <c r="I41" s="18">
        <f>+[1]RDOACUM!R41</f>
        <v>2539505.94</v>
      </c>
      <c r="J41" s="66">
        <f t="shared" ref="J41:J45" si="8">+H41-I41</f>
        <v>-449649.91606515716</v>
      </c>
    </row>
    <row r="42" spans="1:10" x14ac:dyDescent="0.25">
      <c r="A42" s="22" t="s">
        <v>43</v>
      </c>
      <c r="B42" s="23"/>
      <c r="C42" s="24"/>
      <c r="D42" s="17">
        <v>719.7514452397586</v>
      </c>
      <c r="E42" s="18">
        <v>38719.79</v>
      </c>
      <c r="F42" s="32">
        <f t="shared" si="7"/>
        <v>-38000.038554760242</v>
      </c>
      <c r="G42" s="20"/>
      <c r="H42" s="17">
        <v>71026.238776520098</v>
      </c>
      <c r="I42" s="18">
        <f>+[1]RDOACUM!R42</f>
        <v>314249.94999999995</v>
      </c>
      <c r="J42" s="66">
        <f t="shared" si="8"/>
        <v>-243223.71122347986</v>
      </c>
    </row>
    <row r="43" spans="1:10" x14ac:dyDescent="0.25">
      <c r="A43" s="22" t="s">
        <v>44</v>
      </c>
      <c r="B43" s="23"/>
      <c r="C43" s="24"/>
      <c r="D43" s="17">
        <v>414.44421031080145</v>
      </c>
      <c r="E43" s="18">
        <v>17576.82</v>
      </c>
      <c r="F43" s="32">
        <f t="shared" si="7"/>
        <v>-17162.375789689198</v>
      </c>
      <c r="G43" s="20"/>
      <c r="H43" s="17">
        <v>390875.95129217982</v>
      </c>
      <c r="I43" s="18">
        <f>+[1]RDOACUM!R43</f>
        <v>440670.82</v>
      </c>
      <c r="J43" s="66">
        <f t="shared" si="8"/>
        <v>-49794.868707820191</v>
      </c>
    </row>
    <row r="44" spans="1:10" x14ac:dyDescent="0.25">
      <c r="A44" s="22" t="s">
        <v>45</v>
      </c>
      <c r="B44" s="23"/>
      <c r="C44" s="24"/>
      <c r="D44" s="35">
        <v>0</v>
      </c>
      <c r="E44" s="31">
        <v>0</v>
      </c>
      <c r="F44" s="32">
        <f t="shared" si="7"/>
        <v>0</v>
      </c>
      <c r="G44" s="73"/>
      <c r="H44" s="35">
        <v>0</v>
      </c>
      <c r="I44" s="31">
        <f>+[1]RDOACUM!R44</f>
        <v>0</v>
      </c>
      <c r="J44" s="66">
        <f t="shared" si="8"/>
        <v>0</v>
      </c>
    </row>
    <row r="45" spans="1:10" x14ac:dyDescent="0.25">
      <c r="A45" s="22" t="s">
        <v>46</v>
      </c>
      <c r="B45" s="23"/>
      <c r="C45" s="24"/>
      <c r="D45" s="17">
        <v>53537.264748590911</v>
      </c>
      <c r="E45" s="18">
        <v>18335.02</v>
      </c>
      <c r="F45" s="32">
        <f t="shared" si="7"/>
        <v>35202.244748590907</v>
      </c>
      <c r="G45" s="20"/>
      <c r="H45" s="17">
        <v>166817.71492394028</v>
      </c>
      <c r="I45" s="18">
        <f>+[1]RDOACUM!R45</f>
        <v>209854.56999999998</v>
      </c>
      <c r="J45" s="66">
        <f t="shared" si="8"/>
        <v>-43036.855076059699</v>
      </c>
    </row>
    <row r="46" spans="1:10" x14ac:dyDescent="0.25">
      <c r="A46" s="22" t="s">
        <v>47</v>
      </c>
      <c r="B46" s="23"/>
      <c r="C46" s="24"/>
      <c r="D46" s="17">
        <v>3522.8520072666961</v>
      </c>
      <c r="E46" s="74">
        <v>4599.8</v>
      </c>
      <c r="F46" s="32">
        <f>+D46-E46</f>
        <v>-1076.9479927333041</v>
      </c>
      <c r="G46" s="20"/>
      <c r="H46" s="17">
        <v>38315.723686500234</v>
      </c>
      <c r="I46" s="18">
        <f>+[1]RDOACUM!R46-2</f>
        <v>108418.32999999999</v>
      </c>
      <c r="J46" s="66">
        <f>+H46-I46</f>
        <v>-70102.606313499753</v>
      </c>
    </row>
    <row r="47" spans="1:10" x14ac:dyDescent="0.25">
      <c r="A47" s="22"/>
      <c r="B47" s="6" t="s">
        <v>48</v>
      </c>
      <c r="C47" s="24"/>
      <c r="D47" s="37">
        <f>SUM(D39:D46)</f>
        <v>451980.29858176026</v>
      </c>
      <c r="E47" s="75">
        <f>SUM(E39:E46)</f>
        <v>410626.21</v>
      </c>
      <c r="F47" s="39">
        <f t="shared" si="5"/>
        <v>41354.088581760239</v>
      </c>
      <c r="G47" s="20"/>
      <c r="H47" s="37">
        <f>SUM(H39:H46)+1</f>
        <v>4314498.3443086464</v>
      </c>
      <c r="I47" s="75">
        <f>SUM(I39:I46)</f>
        <v>5407506.620000001</v>
      </c>
      <c r="J47" s="71">
        <f>SUM(H47-I47)+1</f>
        <v>-1093007.2756913546</v>
      </c>
    </row>
    <row r="48" spans="1:10" x14ac:dyDescent="0.25">
      <c r="A48" s="22"/>
      <c r="B48" s="23"/>
      <c r="C48" s="7" t="s">
        <v>49</v>
      </c>
      <c r="D48" s="76">
        <f>SUM(D47,D38)</f>
        <v>101226209.05925474</v>
      </c>
      <c r="E48" s="75">
        <f>SUM(E47,E38)-1</f>
        <v>98868821.659999982</v>
      </c>
      <c r="F48" s="39">
        <f t="shared" si="5"/>
        <v>2357387.3992547542</v>
      </c>
      <c r="G48" s="20"/>
      <c r="H48" s="76">
        <f>SUM(H47,H38)</f>
        <v>794912330.86856997</v>
      </c>
      <c r="I48" s="75">
        <f>SUM(I47,I38)</f>
        <v>814838969.66999984</v>
      </c>
      <c r="J48" s="71">
        <f t="shared" ref="J48" si="9">SUM(H48-I48)</f>
        <v>-19926638.801429868</v>
      </c>
    </row>
    <row r="49" spans="1:10" x14ac:dyDescent="0.25">
      <c r="A49" s="22" t="s">
        <v>50</v>
      </c>
      <c r="B49" s="23"/>
      <c r="C49" s="24"/>
      <c r="D49" s="77">
        <v>0</v>
      </c>
      <c r="E49" s="78">
        <v>0</v>
      </c>
      <c r="F49" s="79">
        <f>+D49-E49</f>
        <v>0</v>
      </c>
      <c r="G49" s="20"/>
      <c r="H49" s="40">
        <v>204010.11931344756</v>
      </c>
      <c r="I49" s="26">
        <f>+[1]IYE!S51</f>
        <v>17400</v>
      </c>
      <c r="J49" s="64">
        <f>+H49-I49</f>
        <v>186610.11931344756</v>
      </c>
    </row>
    <row r="50" spans="1:10" x14ac:dyDescent="0.25">
      <c r="A50" s="22" t="s">
        <v>51</v>
      </c>
      <c r="B50" s="23"/>
      <c r="C50" s="24"/>
      <c r="D50" s="80">
        <v>0</v>
      </c>
      <c r="E50" s="81">
        <v>10438</v>
      </c>
      <c r="F50" s="34">
        <f>+D50-E50</f>
        <v>-10438</v>
      </c>
      <c r="G50" s="20"/>
      <c r="H50" s="35">
        <v>253205.57686708879</v>
      </c>
      <c r="I50" s="18">
        <f>+[1]IYE!S52</f>
        <v>90120.5</v>
      </c>
      <c r="J50" s="66">
        <f>+H50-I50</f>
        <v>163085.07686708879</v>
      </c>
    </row>
    <row r="51" spans="1:10" x14ac:dyDescent="0.25">
      <c r="A51" s="22" t="s">
        <v>52</v>
      </c>
      <c r="B51" s="23"/>
      <c r="C51" s="24"/>
      <c r="D51" s="80">
        <v>0</v>
      </c>
      <c r="E51" s="81">
        <v>0</v>
      </c>
      <c r="F51" s="34">
        <f t="shared" ref="F51:F58" si="10">+D51-E51</f>
        <v>0</v>
      </c>
      <c r="G51" s="20"/>
      <c r="H51" s="35">
        <v>0</v>
      </c>
      <c r="I51" s="18">
        <f>+[1]IYE!S53</f>
        <v>85326500</v>
      </c>
      <c r="J51" s="66">
        <f t="shared" ref="J51:J58" si="11">+H51-I51</f>
        <v>-85326500</v>
      </c>
    </row>
    <row r="52" spans="1:10" x14ac:dyDescent="0.25">
      <c r="A52" s="22" t="s">
        <v>53</v>
      </c>
      <c r="B52" s="23"/>
      <c r="C52" s="24"/>
      <c r="D52" s="80">
        <v>0</v>
      </c>
      <c r="E52" s="81">
        <v>5502567.7800000003</v>
      </c>
      <c r="F52" s="34">
        <f t="shared" si="10"/>
        <v>-5502567.7800000003</v>
      </c>
      <c r="G52" s="20"/>
      <c r="H52" s="35">
        <v>46831663.175155088</v>
      </c>
      <c r="I52" s="18">
        <f>+[1]IYE!S54</f>
        <v>47614164.590000004</v>
      </c>
      <c r="J52" s="66">
        <f t="shared" si="11"/>
        <v>-782501.41484491527</v>
      </c>
    </row>
    <row r="53" spans="1:10" x14ac:dyDescent="0.25">
      <c r="A53" s="22" t="s">
        <v>54</v>
      </c>
      <c r="B53" s="23"/>
      <c r="C53" s="24"/>
      <c r="D53" s="80">
        <v>0</v>
      </c>
      <c r="E53" s="81">
        <v>0</v>
      </c>
      <c r="F53" s="34">
        <f t="shared" si="10"/>
        <v>0</v>
      </c>
      <c r="G53" s="20"/>
      <c r="H53" s="35">
        <v>100586.81732680678</v>
      </c>
      <c r="I53" s="18">
        <f>+[1]IYE!S55</f>
        <v>35473</v>
      </c>
      <c r="J53" s="66">
        <f t="shared" si="11"/>
        <v>65113.817326806777</v>
      </c>
    </row>
    <row r="54" spans="1:10" x14ac:dyDescent="0.25">
      <c r="A54" s="22" t="s">
        <v>55</v>
      </c>
      <c r="B54" s="23"/>
      <c r="C54" s="24"/>
      <c r="D54" s="80">
        <v>927693.34045093844</v>
      </c>
      <c r="E54" s="81">
        <v>127273.58</v>
      </c>
      <c r="F54" s="34">
        <f t="shared" si="10"/>
        <v>800419.76045093848</v>
      </c>
      <c r="G54" s="20"/>
      <c r="H54" s="35">
        <v>20470345.833914503</v>
      </c>
      <c r="I54" s="18">
        <f>+[1]IYE!S56</f>
        <v>2508214.0499999998</v>
      </c>
      <c r="J54" s="66">
        <f t="shared" si="11"/>
        <v>17962131.783914503</v>
      </c>
    </row>
    <row r="55" spans="1:10" x14ac:dyDescent="0.25">
      <c r="A55" s="22" t="s">
        <v>56</v>
      </c>
      <c r="B55" s="23"/>
      <c r="C55" s="24"/>
      <c r="D55" s="80">
        <v>1142791.8256760412</v>
      </c>
      <c r="E55" s="81">
        <v>138647.84</v>
      </c>
      <c r="F55" s="34">
        <f t="shared" si="10"/>
        <v>1004143.9856760412</v>
      </c>
      <c r="G55" s="20"/>
      <c r="H55" s="35">
        <v>6722139.3599204291</v>
      </c>
      <c r="I55" s="18">
        <f>+[1]IYE!S57</f>
        <v>2867787.88</v>
      </c>
      <c r="J55" s="66">
        <f t="shared" si="11"/>
        <v>3854351.4799204292</v>
      </c>
    </row>
    <row r="56" spans="1:10" x14ac:dyDescent="0.25">
      <c r="A56" s="22" t="s">
        <v>57</v>
      </c>
      <c r="B56" s="23"/>
      <c r="C56" s="24"/>
      <c r="D56" s="80">
        <v>753403.111129581</v>
      </c>
      <c r="E56" s="81">
        <v>5450</v>
      </c>
      <c r="F56" s="34">
        <f t="shared" si="10"/>
        <v>747953.111129581</v>
      </c>
      <c r="G56" s="20"/>
      <c r="H56" s="35">
        <v>5632728.8658485347</v>
      </c>
      <c r="I56" s="18">
        <f>+[1]IYE!S58</f>
        <v>481420</v>
      </c>
      <c r="J56" s="66">
        <f t="shared" si="11"/>
        <v>5151308.8658485347</v>
      </c>
    </row>
    <row r="57" spans="1:10" x14ac:dyDescent="0.25">
      <c r="A57" s="22" t="s">
        <v>58</v>
      </c>
      <c r="B57" s="23"/>
      <c r="C57" s="24"/>
      <c r="D57" s="80">
        <v>1423862.1484372027</v>
      </c>
      <c r="E57" s="81">
        <v>2063088.02</v>
      </c>
      <c r="F57" s="34">
        <f t="shared" si="10"/>
        <v>-639225.87156279734</v>
      </c>
      <c r="G57" s="20"/>
      <c r="H57" s="35">
        <v>8840885.6874536946</v>
      </c>
      <c r="I57" s="18">
        <f>+[1]IYE!S59</f>
        <v>6740043.3599999994</v>
      </c>
      <c r="J57" s="66">
        <f t="shared" si="11"/>
        <v>2100842.3274536952</v>
      </c>
    </row>
    <row r="58" spans="1:10" x14ac:dyDescent="0.25">
      <c r="A58" s="22" t="s">
        <v>59</v>
      </c>
      <c r="B58" s="23"/>
      <c r="C58" s="24"/>
      <c r="D58" s="80">
        <v>47972.98916543107</v>
      </c>
      <c r="E58" s="81">
        <v>803232.5</v>
      </c>
      <c r="F58" s="34">
        <f t="shared" si="10"/>
        <v>-755259.51083456888</v>
      </c>
      <c r="G58" s="20"/>
      <c r="H58" s="35">
        <v>337392.27025846893</v>
      </c>
      <c r="I58" s="18">
        <f>+[1]IYE!S60</f>
        <v>1309815.8999999999</v>
      </c>
      <c r="J58" s="66">
        <f t="shared" si="11"/>
        <v>-972423.62974153098</v>
      </c>
    </row>
    <row r="59" spans="1:10" x14ac:dyDescent="0.25">
      <c r="A59" s="22" t="s">
        <v>60</v>
      </c>
      <c r="B59" s="23"/>
      <c r="C59" s="24"/>
      <c r="D59" s="80">
        <v>0</v>
      </c>
      <c r="E59" s="81">
        <v>0</v>
      </c>
      <c r="F59" s="32">
        <f>+D59-E59</f>
        <v>0</v>
      </c>
      <c r="G59" s="20"/>
      <c r="H59" s="30">
        <v>0</v>
      </c>
      <c r="I59" s="82">
        <f>+[1]IYE!S61</f>
        <v>0</v>
      </c>
      <c r="J59" s="66">
        <f>+H59-I59</f>
        <v>0</v>
      </c>
    </row>
    <row r="60" spans="1:10" x14ac:dyDescent="0.25">
      <c r="A60" s="22"/>
      <c r="B60" s="6" t="s">
        <v>61</v>
      </c>
      <c r="C60" s="24"/>
      <c r="D60" s="83">
        <f>SUM(D49:D59)</f>
        <v>4295723.4148591943</v>
      </c>
      <c r="E60" s="84">
        <f>SUM(E49:E59)+1</f>
        <v>8650698.7200000007</v>
      </c>
      <c r="F60" s="39">
        <f>SUM(D60-E60)+1</f>
        <v>-4354974.3051408064</v>
      </c>
      <c r="G60" s="20"/>
      <c r="H60" s="83">
        <f>SUM(H49:H59)</f>
        <v>89392957.70605807</v>
      </c>
      <c r="I60" s="84">
        <f>SUM(I49:I59)+1</f>
        <v>146990940.28</v>
      </c>
      <c r="J60" s="71">
        <f>SUM(H60-I60)+1</f>
        <v>-57597981.573941931</v>
      </c>
    </row>
    <row r="61" spans="1:10" x14ac:dyDescent="0.25">
      <c r="A61" s="22"/>
      <c r="B61" s="23"/>
      <c r="C61" s="7" t="s">
        <v>62</v>
      </c>
      <c r="D61" s="85">
        <f>SUM(D48+D60)</f>
        <v>105521932.47411393</v>
      </c>
      <c r="E61" s="86">
        <f>SUM(E48+E60)+1</f>
        <v>107519521.37999998</v>
      </c>
      <c r="F61" s="48">
        <f>SUM(D61-E61)+1</f>
        <v>-1997587.905886054</v>
      </c>
      <c r="G61" s="20"/>
      <c r="H61" s="85">
        <f>SUM(H48+H60)</f>
        <v>884305288.574628</v>
      </c>
      <c r="I61" s="86">
        <f>SUM(I48+I60)</f>
        <v>961829909.94999981</v>
      </c>
      <c r="J61" s="87">
        <f>SUM(H61-I61)</f>
        <v>-77524621.375371814</v>
      </c>
    </row>
    <row r="62" spans="1:10" x14ac:dyDescent="0.25">
      <c r="A62" s="56" t="s">
        <v>63</v>
      </c>
      <c r="B62" s="23"/>
      <c r="C62" s="7"/>
      <c r="D62" s="17"/>
      <c r="E62" s="58"/>
      <c r="F62" s="19"/>
      <c r="G62" s="20"/>
      <c r="H62" s="17"/>
      <c r="I62" s="58"/>
      <c r="J62" s="19"/>
    </row>
    <row r="63" spans="1:10" x14ac:dyDescent="0.25">
      <c r="A63" s="22" t="s">
        <v>33</v>
      </c>
      <c r="B63" s="23"/>
      <c r="C63" s="7"/>
      <c r="D63" s="40">
        <f>+E63</f>
        <v>41600</v>
      </c>
      <c r="E63" s="26">
        <v>41600</v>
      </c>
      <c r="F63" s="27">
        <f t="shared" ref="F63:F68" si="12">SUM(D63-E63)</f>
        <v>0</v>
      </c>
      <c r="G63" s="20"/>
      <c r="H63" s="40">
        <f>+[2]COMPRES!$H$63+D63</f>
        <v>458100</v>
      </c>
      <c r="I63" s="26">
        <f>+[1]RDOACUM!R51</f>
        <v>458100</v>
      </c>
      <c r="J63" s="27">
        <f t="shared" ref="J63:J72" si="13">SUM(H63-I63)</f>
        <v>0</v>
      </c>
    </row>
    <row r="64" spans="1:10" x14ac:dyDescent="0.25">
      <c r="A64" s="22" t="s">
        <v>34</v>
      </c>
      <c r="B64" s="23"/>
      <c r="C64" s="7"/>
      <c r="D64" s="35">
        <f t="shared" ref="D64:D68" si="14">+E64</f>
        <v>3088732.47</v>
      </c>
      <c r="E64" s="31">
        <v>3088732.47</v>
      </c>
      <c r="F64" s="32">
        <f t="shared" si="12"/>
        <v>0</v>
      </c>
      <c r="G64" s="20"/>
      <c r="H64" s="88">
        <f>+I64+0.5</f>
        <v>12508015.090000002</v>
      </c>
      <c r="I64" s="18">
        <f>+[1]IYE!S67+1</f>
        <v>12508014.590000002</v>
      </c>
      <c r="J64" s="32">
        <f>SUM(H64-I64)-0.5</f>
        <v>0</v>
      </c>
    </row>
    <row r="65" spans="1:10" x14ac:dyDescent="0.25">
      <c r="A65" s="22" t="s">
        <v>64</v>
      </c>
      <c r="B65" s="23"/>
      <c r="C65" s="7"/>
      <c r="D65" s="35">
        <f t="shared" si="14"/>
        <v>2265404.46</v>
      </c>
      <c r="E65" s="31">
        <v>2265404.46</v>
      </c>
      <c r="F65" s="32">
        <f t="shared" si="12"/>
        <v>0</v>
      </c>
      <c r="G65" s="20"/>
      <c r="H65" s="88">
        <f>+I65</f>
        <v>6409114.6299999999</v>
      </c>
      <c r="I65" s="18">
        <f>+[1]RDOACUM!R53</f>
        <v>6409114.6299999999</v>
      </c>
      <c r="J65" s="32">
        <f t="shared" si="13"/>
        <v>0</v>
      </c>
    </row>
    <row r="66" spans="1:10" x14ac:dyDescent="0.25">
      <c r="A66" s="22" t="s">
        <v>36</v>
      </c>
      <c r="B66" s="23"/>
      <c r="C66" s="7"/>
      <c r="D66" s="35">
        <f t="shared" si="14"/>
        <v>408808.38</v>
      </c>
      <c r="E66" s="31">
        <v>408808.38</v>
      </c>
      <c r="F66" s="32">
        <f t="shared" si="12"/>
        <v>0</v>
      </c>
      <c r="G66" s="20"/>
      <c r="H66" s="88">
        <f>+I66</f>
        <v>2011902.02</v>
      </c>
      <c r="I66" s="18">
        <f>+[1]RDOACUM!R54</f>
        <v>2011902.02</v>
      </c>
      <c r="J66" s="32">
        <f t="shared" si="13"/>
        <v>0</v>
      </c>
    </row>
    <row r="67" spans="1:10" x14ac:dyDescent="0.25">
      <c r="A67" s="22" t="s">
        <v>65</v>
      </c>
      <c r="B67" s="23"/>
      <c r="C67" s="7"/>
      <c r="D67" s="35">
        <f t="shared" si="14"/>
        <v>0</v>
      </c>
      <c r="E67" s="31">
        <v>0</v>
      </c>
      <c r="F67" s="32">
        <f t="shared" si="12"/>
        <v>0</v>
      </c>
      <c r="G67" s="20"/>
      <c r="H67" s="89">
        <f>+[2]COMPRES!$H$67+D67</f>
        <v>0</v>
      </c>
      <c r="I67" s="82">
        <f>+[1]RDOACUM!R55</f>
        <v>0</v>
      </c>
      <c r="J67" s="32">
        <f t="shared" si="13"/>
        <v>0</v>
      </c>
    </row>
    <row r="68" spans="1:10" x14ac:dyDescent="0.25">
      <c r="A68" s="22" t="s">
        <v>37</v>
      </c>
      <c r="B68" s="23"/>
      <c r="C68" s="7"/>
      <c r="D68" s="35">
        <f t="shared" si="14"/>
        <v>387726.47</v>
      </c>
      <c r="E68" s="31">
        <v>387726.47</v>
      </c>
      <c r="F68" s="32">
        <f t="shared" si="12"/>
        <v>0</v>
      </c>
      <c r="G68" s="20"/>
      <c r="H68" s="88">
        <f>+[2]COMPRES!$H$68+D68</f>
        <v>3391850.3499999996</v>
      </c>
      <c r="I68" s="18">
        <f>+[1]RDOACUM!R56</f>
        <v>3391850.3499999996</v>
      </c>
      <c r="J68" s="32">
        <f t="shared" si="13"/>
        <v>0</v>
      </c>
    </row>
    <row r="69" spans="1:10" x14ac:dyDescent="0.25">
      <c r="A69" s="22"/>
      <c r="B69" s="6" t="s">
        <v>66</v>
      </c>
      <c r="C69" s="7"/>
      <c r="D69" s="90">
        <f>SUM(D63:D68)-1</f>
        <v>6192270.7799999993</v>
      </c>
      <c r="E69" s="91">
        <f>SUM(E63:E68)-1</f>
        <v>6192270.7799999993</v>
      </c>
      <c r="F69" s="92">
        <f t="shared" si="5"/>
        <v>0</v>
      </c>
      <c r="G69" s="20"/>
      <c r="H69" s="90">
        <f>SUM(H63:H68)</f>
        <v>24778982.090000004</v>
      </c>
      <c r="I69" s="91">
        <f>SUM(I63:I68)</f>
        <v>24778981.590000004</v>
      </c>
      <c r="J69" s="93">
        <f>SUM(H69-I69)-0.5</f>
        <v>0</v>
      </c>
    </row>
    <row r="70" spans="1:10" x14ac:dyDescent="0.25">
      <c r="A70" s="22" t="s">
        <v>53</v>
      </c>
      <c r="B70" s="6"/>
      <c r="C70" s="7"/>
      <c r="D70" s="40">
        <f>+E70</f>
        <v>0</v>
      </c>
      <c r="E70" s="26">
        <f>+[1]IYE!Q73</f>
        <v>0</v>
      </c>
      <c r="F70" s="27">
        <f>SUM(D70-E70)</f>
        <v>0</v>
      </c>
      <c r="G70" s="20"/>
      <c r="H70" s="40">
        <f>+[2]COMPRES!$H$70+D70</f>
        <v>25200458.18</v>
      </c>
      <c r="I70" s="26">
        <f>+[1]IYE!S73</f>
        <v>25200458.18</v>
      </c>
      <c r="J70" s="27">
        <f t="shared" si="13"/>
        <v>0</v>
      </c>
    </row>
    <row r="71" spans="1:10" x14ac:dyDescent="0.25">
      <c r="A71" s="22" t="s">
        <v>67</v>
      </c>
      <c r="B71" s="23"/>
      <c r="C71" s="7"/>
      <c r="D71" s="35">
        <f>+E71</f>
        <v>8244199.79</v>
      </c>
      <c r="E71" s="31">
        <f>+[1]IYE!Q74-1</f>
        <v>8244199.79</v>
      </c>
      <c r="F71" s="32">
        <f>SUM(D71-E71)</f>
        <v>0</v>
      </c>
      <c r="G71" s="20"/>
      <c r="H71" s="88">
        <f>+[2]COMPRES!$H$71+D71+1</f>
        <v>21723344.390000001</v>
      </c>
      <c r="I71" s="18">
        <f>+[1]IYE!S74-1</f>
        <v>21723344.390000001</v>
      </c>
      <c r="J71" s="66">
        <f t="shared" si="13"/>
        <v>0</v>
      </c>
    </row>
    <row r="72" spans="1:10" x14ac:dyDescent="0.25">
      <c r="A72" s="22" t="s">
        <v>68</v>
      </c>
      <c r="B72" s="23"/>
      <c r="C72" s="7"/>
      <c r="D72" s="35">
        <f>+E72</f>
        <v>0</v>
      </c>
      <c r="E72" s="31">
        <f>+[1]IYE!Q75</f>
        <v>0</v>
      </c>
      <c r="F72" s="32">
        <f>SUM(D72-E72)</f>
        <v>0</v>
      </c>
      <c r="G72" s="20"/>
      <c r="H72" s="35">
        <f>+[2]COMPRES!$H$72+D72+1</f>
        <v>14486.57</v>
      </c>
      <c r="I72" s="31">
        <f>+[1]IYE!S75+1</f>
        <v>14486.57</v>
      </c>
      <c r="J72" s="66">
        <f t="shared" si="13"/>
        <v>0</v>
      </c>
    </row>
    <row r="73" spans="1:10" x14ac:dyDescent="0.25">
      <c r="A73" s="22"/>
      <c r="B73" s="6" t="s">
        <v>69</v>
      </c>
      <c r="C73" s="24"/>
      <c r="D73" s="90">
        <f>SUM(D70:D72)</f>
        <v>8244199.79</v>
      </c>
      <c r="E73" s="91">
        <f>SUM(E70:E72)</f>
        <v>8244199.79</v>
      </c>
      <c r="F73" s="92">
        <f>SUM(F70:F72)</f>
        <v>0</v>
      </c>
      <c r="G73" s="20"/>
      <c r="H73" s="90">
        <f>SUM(H70:H72)</f>
        <v>46938289.140000001</v>
      </c>
      <c r="I73" s="91">
        <f>SUM(I70:I72)</f>
        <v>46938289.140000001</v>
      </c>
      <c r="J73" s="93">
        <f>SUM(J70:J72)</f>
        <v>0</v>
      </c>
    </row>
    <row r="74" spans="1:10" x14ac:dyDescent="0.25">
      <c r="A74" s="22"/>
      <c r="B74" s="6"/>
      <c r="C74" s="7" t="s">
        <v>70</v>
      </c>
      <c r="D74" s="46">
        <f>SUM(D73,D69)</f>
        <v>14436470.57</v>
      </c>
      <c r="E74" s="47">
        <f>SUM(E73,E69)</f>
        <v>14436470.57</v>
      </c>
      <c r="F74" s="48">
        <f>SUM(D74-E74)</f>
        <v>0</v>
      </c>
      <c r="G74" s="20"/>
      <c r="H74" s="46">
        <f>SUM(H73,H69)</f>
        <v>71717271.230000004</v>
      </c>
      <c r="I74" s="47">
        <f>SUM(I73,I69)</f>
        <v>71717270.730000004</v>
      </c>
      <c r="J74" s="48">
        <f>SUM(H74-I74)-0.5</f>
        <v>0</v>
      </c>
    </row>
    <row r="75" spans="1:10" x14ac:dyDescent="0.25">
      <c r="A75" s="22"/>
      <c r="B75" s="23"/>
      <c r="C75" s="24"/>
      <c r="D75" s="17"/>
      <c r="E75" s="18"/>
      <c r="F75" s="19"/>
      <c r="G75" s="20"/>
      <c r="H75" s="17"/>
      <c r="I75" s="18"/>
      <c r="J75" s="21"/>
    </row>
    <row r="76" spans="1:10" x14ac:dyDescent="0.25">
      <c r="A76" s="22"/>
      <c r="B76" s="23"/>
      <c r="C76" s="7" t="s">
        <v>71</v>
      </c>
      <c r="D76" s="94">
        <f>SUM(D61+D74)-1</f>
        <v>119958402.04411393</v>
      </c>
      <c r="E76" s="47">
        <f>SUM(E61+E74)</f>
        <v>121955991.94999999</v>
      </c>
      <c r="F76" s="48">
        <f>SUM(F61+F74)</f>
        <v>-1997587.905886054</v>
      </c>
      <c r="G76" s="20"/>
      <c r="H76" s="95">
        <f>SUM(H61+H74)</f>
        <v>956022559.80462801</v>
      </c>
      <c r="I76" s="96">
        <f>SUM(I61+I74)</f>
        <v>1033547180.6799998</v>
      </c>
      <c r="J76" s="87">
        <f>SUM(J61+J74)</f>
        <v>-77524621.375371814</v>
      </c>
    </row>
    <row r="77" spans="1:10" ht="15.75" thickBot="1" x14ac:dyDescent="0.3">
      <c r="A77" s="97" t="s">
        <v>72</v>
      </c>
      <c r="B77" s="98"/>
      <c r="C77" s="99"/>
      <c r="D77" s="100"/>
      <c r="E77" s="101">
        <f>+E29-E76</f>
        <v>38155688.870000035</v>
      </c>
      <c r="F77" s="102"/>
      <c r="G77" s="103"/>
      <c r="H77" s="100"/>
      <c r="I77" s="100">
        <f>+I29-I76</f>
        <v>75765839.070000172</v>
      </c>
      <c r="J77" s="104"/>
    </row>
  </sheetData>
  <mergeCells count="5">
    <mergeCell ref="A1:J1"/>
    <mergeCell ref="A2:J2"/>
    <mergeCell ref="A3:J3"/>
    <mergeCell ref="D4:F4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F15" sqref="F15"/>
    </sheetView>
  </sheetViews>
  <sheetFormatPr baseColWidth="10" defaultRowHeight="15" x14ac:dyDescent="0.25"/>
  <cols>
    <col min="4" max="5" width="13.28515625" bestFit="1" customWidth="1"/>
    <col min="6" max="6" width="12.85546875" bestFit="1" customWidth="1"/>
    <col min="7" max="7" width="4.28515625" customWidth="1"/>
    <col min="8" max="9" width="14.85546875" bestFit="1" customWidth="1"/>
    <col min="10" max="10" width="13.85546875" bestFit="1" customWidth="1"/>
  </cols>
  <sheetData>
    <row r="1" spans="1:10" ht="18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15.75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4"/>
    </row>
    <row r="3" spans="1:10" ht="16.5" thickBot="1" x14ac:dyDescent="0.3">
      <c r="A3" s="185" t="s">
        <v>2</v>
      </c>
      <c r="B3" s="186"/>
      <c r="C3" s="186"/>
      <c r="D3" s="186"/>
      <c r="E3" s="186"/>
      <c r="F3" s="186"/>
      <c r="G3" s="186"/>
      <c r="H3" s="186"/>
      <c r="I3" s="186"/>
      <c r="J3" s="187"/>
    </row>
    <row r="4" spans="1:10" ht="15.75" thickBot="1" x14ac:dyDescent="0.3">
      <c r="A4" s="105"/>
      <c r="B4" s="106"/>
      <c r="C4" s="107"/>
      <c r="D4" s="176" t="s">
        <v>73</v>
      </c>
      <c r="E4" s="177"/>
      <c r="F4" s="178"/>
      <c r="G4" s="108"/>
      <c r="H4" s="176" t="s">
        <v>74</v>
      </c>
      <c r="I4" s="177"/>
      <c r="J4" s="178"/>
    </row>
    <row r="5" spans="1:10" ht="15.75" thickBot="1" x14ac:dyDescent="0.3">
      <c r="A5" s="109"/>
      <c r="B5" s="110"/>
      <c r="C5" s="111"/>
      <c r="D5" s="112" t="s">
        <v>5</v>
      </c>
      <c r="E5" s="113" t="s">
        <v>6</v>
      </c>
      <c r="F5" s="114" t="s">
        <v>7</v>
      </c>
      <c r="G5" s="115"/>
      <c r="H5" s="112" t="s">
        <v>5</v>
      </c>
      <c r="I5" s="113" t="s">
        <v>6</v>
      </c>
      <c r="J5" s="114" t="s">
        <v>7</v>
      </c>
    </row>
    <row r="6" spans="1:10" x14ac:dyDescent="0.25">
      <c r="A6" s="116" t="s">
        <v>8</v>
      </c>
      <c r="B6" s="117"/>
      <c r="C6" s="118"/>
      <c r="D6" s="17"/>
      <c r="E6" s="119"/>
      <c r="F6" s="19"/>
      <c r="G6" s="120"/>
      <c r="H6" s="17"/>
      <c r="I6" s="119"/>
      <c r="J6" s="19"/>
    </row>
    <row r="7" spans="1:10" x14ac:dyDescent="0.25">
      <c r="A7" s="121" t="s">
        <v>9</v>
      </c>
      <c r="B7" s="122"/>
      <c r="C7" s="123"/>
      <c r="D7" s="25">
        <v>71976957</v>
      </c>
      <c r="E7" s="124">
        <v>77020627</v>
      </c>
      <c r="F7" s="27">
        <f>+E7-D7</f>
        <v>5043670</v>
      </c>
      <c r="G7" s="120"/>
      <c r="H7" s="28">
        <v>577518620</v>
      </c>
      <c r="I7" s="124">
        <v>532468663</v>
      </c>
      <c r="J7" s="29">
        <f>+I7-H7</f>
        <v>-45049957</v>
      </c>
    </row>
    <row r="8" spans="1:10" x14ac:dyDescent="0.25">
      <c r="A8" s="121" t="s">
        <v>10</v>
      </c>
      <c r="B8" s="122"/>
      <c r="C8" s="123"/>
      <c r="D8" s="30">
        <v>28446732</v>
      </c>
      <c r="E8" s="125">
        <v>28446732</v>
      </c>
      <c r="F8" s="32">
        <f>+E8-D8</f>
        <v>0</v>
      </c>
      <c r="G8" s="120"/>
      <c r="H8" s="33">
        <v>284468692</v>
      </c>
      <c r="I8" s="125">
        <v>269769620</v>
      </c>
      <c r="J8" s="34">
        <f>+I8-H8</f>
        <v>-14699072</v>
      </c>
    </row>
    <row r="9" spans="1:10" x14ac:dyDescent="0.25">
      <c r="A9" s="121" t="s">
        <v>11</v>
      </c>
      <c r="B9" s="122"/>
      <c r="C9" s="123"/>
      <c r="D9" s="35"/>
      <c r="E9" s="126">
        <v>0</v>
      </c>
      <c r="F9" s="32">
        <f>+E9-D9</f>
        <v>0</v>
      </c>
      <c r="G9" s="36"/>
      <c r="H9" s="127">
        <v>0</v>
      </c>
      <c r="I9" s="128">
        <v>0</v>
      </c>
      <c r="J9" s="34">
        <f>+I9-H9</f>
        <v>0</v>
      </c>
    </row>
    <row r="10" spans="1:10" x14ac:dyDescent="0.25">
      <c r="A10" s="121"/>
      <c r="B10" s="129" t="s">
        <v>12</v>
      </c>
      <c r="C10" s="123"/>
      <c r="D10" s="37">
        <f>SUM(D7:D9)</f>
        <v>100423689</v>
      </c>
      <c r="E10" s="130">
        <f>SUM(E7:E9)</f>
        <v>105467359</v>
      </c>
      <c r="F10" s="39">
        <f>+D10-E10</f>
        <v>-5043670</v>
      </c>
      <c r="G10" s="120"/>
      <c r="H10" s="37">
        <f>SUM(H7:H9)</f>
        <v>861987312</v>
      </c>
      <c r="I10" s="130">
        <f>SUM(I7:I9)</f>
        <v>802238283</v>
      </c>
      <c r="J10" s="39">
        <f t="shared" ref="J10:J15" si="0">SUM(H10-I10)</f>
        <v>59749029</v>
      </c>
    </row>
    <row r="11" spans="1:10" x14ac:dyDescent="0.25">
      <c r="A11" s="121" t="s">
        <v>13</v>
      </c>
      <c r="B11" s="122"/>
      <c r="C11" s="123"/>
      <c r="D11" s="28">
        <v>1332811.55</v>
      </c>
      <c r="E11" s="124">
        <v>1332811.55</v>
      </c>
      <c r="F11" s="32">
        <f>+E11-D11</f>
        <v>0</v>
      </c>
      <c r="G11" s="120"/>
      <c r="H11" s="40">
        <v>29068038.52</v>
      </c>
      <c r="I11" s="124">
        <v>29068038.52</v>
      </c>
      <c r="J11" s="27">
        <f t="shared" si="0"/>
        <v>0</v>
      </c>
    </row>
    <row r="12" spans="1:10" x14ac:dyDescent="0.25">
      <c r="A12" s="121" t="s">
        <v>14</v>
      </c>
      <c r="B12" s="122"/>
      <c r="C12" s="123"/>
      <c r="D12" s="33">
        <v>759037.89</v>
      </c>
      <c r="E12" s="131">
        <v>759037.89</v>
      </c>
      <c r="F12" s="32">
        <f>+E12-D12</f>
        <v>0</v>
      </c>
      <c r="G12" s="120"/>
      <c r="H12" s="17">
        <v>7620107.5999999996</v>
      </c>
      <c r="I12" s="131">
        <v>7620107.5999999996</v>
      </c>
      <c r="J12" s="41">
        <f t="shared" si="0"/>
        <v>0</v>
      </c>
    </row>
    <row r="13" spans="1:10" x14ac:dyDescent="0.25">
      <c r="A13" s="121" t="s">
        <v>15</v>
      </c>
      <c r="B13" s="122"/>
      <c r="C13" s="123"/>
      <c r="D13" s="30">
        <f>828650.97-1</f>
        <v>828649.97</v>
      </c>
      <c r="E13" s="125">
        <v>828649.97</v>
      </c>
      <c r="F13" s="32">
        <f>+E13-D13</f>
        <v>0</v>
      </c>
      <c r="G13" s="120"/>
      <c r="H13" s="35">
        <f>26029109.15-1</f>
        <v>26029108.149999999</v>
      </c>
      <c r="I13" s="131">
        <v>26029108.149999999</v>
      </c>
      <c r="J13" s="41">
        <f t="shared" si="0"/>
        <v>0</v>
      </c>
    </row>
    <row r="14" spans="1:10" x14ac:dyDescent="0.25">
      <c r="A14" s="121" t="s">
        <v>16</v>
      </c>
      <c r="B14" s="122"/>
      <c r="C14" s="123"/>
      <c r="D14" s="33">
        <f>2523181.25-1</f>
        <v>2523180.25</v>
      </c>
      <c r="E14" s="125">
        <v>2523180.25</v>
      </c>
      <c r="F14" s="32">
        <f>+E14-D14</f>
        <v>0</v>
      </c>
      <c r="G14" s="120"/>
      <c r="H14" s="17">
        <f>12239803.6-2</f>
        <v>12239801.6</v>
      </c>
      <c r="I14" s="125">
        <v>12239801.6</v>
      </c>
      <c r="J14" s="41">
        <f t="shared" si="0"/>
        <v>0</v>
      </c>
    </row>
    <row r="15" spans="1:10" x14ac:dyDescent="0.25">
      <c r="A15" s="121"/>
      <c r="B15" s="129" t="s">
        <v>17</v>
      </c>
      <c r="C15" s="123"/>
      <c r="D15" s="37">
        <f>SUM(D11:D14)</f>
        <v>5443679.6600000001</v>
      </c>
      <c r="E15" s="130">
        <f>SUM(E11:E14)</f>
        <v>5443679.6600000001</v>
      </c>
      <c r="F15" s="39">
        <f>+D15-E15</f>
        <v>0</v>
      </c>
      <c r="G15" s="120"/>
      <c r="H15" s="37">
        <f>SUM(H11:H14)+1</f>
        <v>74957056.86999999</v>
      </c>
      <c r="I15" s="130">
        <f>SUM(I11:I14)+1</f>
        <v>74957056.86999999</v>
      </c>
      <c r="J15" s="39">
        <f t="shared" si="0"/>
        <v>0</v>
      </c>
    </row>
    <row r="16" spans="1:10" x14ac:dyDescent="0.25">
      <c r="A16" s="121" t="s">
        <v>18</v>
      </c>
      <c r="B16" s="122"/>
      <c r="C16" s="123"/>
      <c r="D16" s="40">
        <v>11875946.221933207</v>
      </c>
      <c r="E16" s="124">
        <v>13609842.5</v>
      </c>
      <c r="F16" s="32">
        <f>+E16-D16+1</f>
        <v>1733897.2780667935</v>
      </c>
      <c r="G16" s="120"/>
      <c r="H16" s="40">
        <v>57200732.204866357</v>
      </c>
      <c r="I16" s="124">
        <v>72193788.900000006</v>
      </c>
      <c r="J16" s="29">
        <f>+I16-H16</f>
        <v>14993056.695133649</v>
      </c>
    </row>
    <row r="17" spans="1:10" x14ac:dyDescent="0.25">
      <c r="A17" s="121" t="s">
        <v>19</v>
      </c>
      <c r="B17" s="122"/>
      <c r="C17" s="123"/>
      <c r="D17" s="35">
        <v>83653012.451606989</v>
      </c>
      <c r="E17" s="131">
        <v>99241958.650000006</v>
      </c>
      <c r="F17" s="42">
        <f>+E17-D17+1</f>
        <v>15588947.198393017</v>
      </c>
      <c r="G17" s="120"/>
      <c r="H17" s="17">
        <v>176962518.45058924</v>
      </c>
      <c r="I17" s="131">
        <v>216939476.47000003</v>
      </c>
      <c r="J17" s="34">
        <f>+I17-H17</f>
        <v>39976958.019410789</v>
      </c>
    </row>
    <row r="18" spans="1:10" x14ac:dyDescent="0.25">
      <c r="A18" s="121" t="s">
        <v>20</v>
      </c>
      <c r="B18" s="122"/>
      <c r="C18" s="123"/>
      <c r="D18" s="35">
        <v>20015046.389497947</v>
      </c>
      <c r="E18" s="131">
        <v>23996805.850000001</v>
      </c>
      <c r="F18" s="42">
        <f>+E18-D18+1</f>
        <v>3981760.4605020545</v>
      </c>
      <c r="G18" s="120"/>
      <c r="H18" s="17">
        <v>60141750.110201314</v>
      </c>
      <c r="I18" s="131">
        <v>75854058.359999999</v>
      </c>
      <c r="J18" s="34">
        <f t="shared" ref="J18:J23" si="1">+I18-H18</f>
        <v>15712308.249798685</v>
      </c>
    </row>
    <row r="19" spans="1:10" x14ac:dyDescent="0.25">
      <c r="A19" s="121" t="s">
        <v>21</v>
      </c>
      <c r="B19" s="122"/>
      <c r="C19" s="123"/>
      <c r="D19" s="35">
        <v>367773.55334105354</v>
      </c>
      <c r="E19" s="131">
        <v>1164879</v>
      </c>
      <c r="F19" s="32">
        <f t="shared" ref="F19:F21" si="2">+E19-D19</f>
        <v>797105.44665894646</v>
      </c>
      <c r="G19" s="120"/>
      <c r="H19" s="17">
        <v>4571260.3247496542</v>
      </c>
      <c r="I19" s="131">
        <v>5216234</v>
      </c>
      <c r="J19" s="34">
        <f t="shared" si="1"/>
        <v>644973.67525034584</v>
      </c>
    </row>
    <row r="20" spans="1:10" x14ac:dyDescent="0.25">
      <c r="A20" s="121" t="s">
        <v>22</v>
      </c>
      <c r="B20" s="122"/>
      <c r="C20" s="123"/>
      <c r="D20" s="35">
        <v>360270.47157567192</v>
      </c>
      <c r="E20" s="131">
        <v>416876</v>
      </c>
      <c r="F20" s="32">
        <f t="shared" si="2"/>
        <v>56605.528424328077</v>
      </c>
      <c r="G20" s="120"/>
      <c r="H20" s="17">
        <v>1478893.372456647</v>
      </c>
      <c r="I20" s="131">
        <v>3343251.43</v>
      </c>
      <c r="J20" s="34">
        <f t="shared" si="1"/>
        <v>1864358.0575433532</v>
      </c>
    </row>
    <row r="21" spans="1:10" x14ac:dyDescent="0.25">
      <c r="A21" s="121" t="s">
        <v>23</v>
      </c>
      <c r="B21" s="122"/>
      <c r="C21" s="123"/>
      <c r="D21" s="35">
        <v>1354554.9621175365</v>
      </c>
      <c r="E21" s="131">
        <v>925065.72</v>
      </c>
      <c r="F21" s="32">
        <f t="shared" si="2"/>
        <v>-429489.24211753649</v>
      </c>
      <c r="G21" s="120"/>
      <c r="H21" s="17">
        <v>21827701.869619206</v>
      </c>
      <c r="I21" s="131">
        <v>25012046.649999999</v>
      </c>
      <c r="J21" s="34">
        <f t="shared" si="1"/>
        <v>3184344.7803807929</v>
      </c>
    </row>
    <row r="22" spans="1:10" x14ac:dyDescent="0.25">
      <c r="A22" s="121" t="s">
        <v>24</v>
      </c>
      <c r="B22" s="122"/>
      <c r="C22" s="123"/>
      <c r="D22" s="35">
        <v>320511.4378128773</v>
      </c>
      <c r="E22" s="131">
        <v>809632.79</v>
      </c>
      <c r="F22" s="42">
        <f>+E22-D22+1</f>
        <v>489122.35218712274</v>
      </c>
      <c r="G22" s="120"/>
      <c r="H22" s="17">
        <v>2441870.1045952742</v>
      </c>
      <c r="I22" s="131">
        <v>4192102.0100000002</v>
      </c>
      <c r="J22" s="34">
        <f t="shared" si="1"/>
        <v>1750231.905404726</v>
      </c>
    </row>
    <row r="23" spans="1:10" x14ac:dyDescent="0.25">
      <c r="A23" s="121" t="s">
        <v>25</v>
      </c>
      <c r="B23" s="122"/>
      <c r="C23" s="123"/>
      <c r="D23" s="35">
        <v>431104.72990836011</v>
      </c>
      <c r="E23" s="131">
        <v>490292.45</v>
      </c>
      <c r="F23" s="132">
        <f>+E23-D23-1</f>
        <v>59186.720091639902</v>
      </c>
      <c r="G23" s="120"/>
      <c r="H23" s="17">
        <v>3944339.4250231874</v>
      </c>
      <c r="I23" s="131">
        <v>5946555.3500000006</v>
      </c>
      <c r="J23" s="34">
        <f t="shared" si="1"/>
        <v>2002215.9249768131</v>
      </c>
    </row>
    <row r="24" spans="1:10" x14ac:dyDescent="0.25">
      <c r="A24" s="121" t="s">
        <v>26</v>
      </c>
      <c r="B24" s="122"/>
      <c r="C24" s="123"/>
      <c r="D24" s="43">
        <v>5333928.4644044777</v>
      </c>
      <c r="E24" s="131">
        <v>5815686.1900000004</v>
      </c>
      <c r="F24" s="34">
        <f>+E24-D24</f>
        <v>481757.72559552267</v>
      </c>
      <c r="G24" s="115"/>
      <c r="H24" s="33">
        <v>21541642.62557514</v>
      </c>
      <c r="I24" s="131">
        <v>118945702.51999998</v>
      </c>
      <c r="J24" s="34">
        <f>+I24-H24</f>
        <v>97404059.894424841</v>
      </c>
    </row>
    <row r="25" spans="1:10" x14ac:dyDescent="0.25">
      <c r="A25" s="121"/>
      <c r="B25" s="129" t="s">
        <v>27</v>
      </c>
      <c r="C25" s="123"/>
      <c r="D25" s="37">
        <f>SUM(D16:D24)-2</f>
        <v>123712146.68219814</v>
      </c>
      <c r="E25" s="130">
        <f>SUM(E16:E24)+1</f>
        <v>146471040.14999998</v>
      </c>
      <c r="F25" s="39">
        <f>+D25-E25</f>
        <v>-22758893.467801839</v>
      </c>
      <c r="G25" s="120"/>
      <c r="H25" s="37">
        <f>SUM(H16:H24)-1</f>
        <v>350110707.48767602</v>
      </c>
      <c r="I25" s="130">
        <f>SUM(I16:I24)-0.5</f>
        <v>527643215.19</v>
      </c>
      <c r="J25" s="133">
        <f>SUM(H25-I25)</f>
        <v>-177532507.70232397</v>
      </c>
    </row>
    <row r="26" spans="1:10" x14ac:dyDescent="0.25">
      <c r="A26" s="121"/>
      <c r="B26" s="122"/>
      <c r="C26" s="134" t="s">
        <v>28</v>
      </c>
      <c r="D26" s="46">
        <f>SUM(D25,D15,D10)+1</f>
        <v>229579516.34219813</v>
      </c>
      <c r="E26" s="135">
        <f>SUM(E25,E15,E10)</f>
        <v>257382078.80999997</v>
      </c>
      <c r="F26" s="48">
        <f>+D26-E26-1</f>
        <v>-27802563.467801839</v>
      </c>
      <c r="G26" s="120"/>
      <c r="H26" s="46">
        <f>SUM(H25,H15,H10)</f>
        <v>1287055076.357676</v>
      </c>
      <c r="I26" s="135">
        <f>SUM(I25,I15,I10)</f>
        <v>1404838555.0599999</v>
      </c>
      <c r="J26" s="48">
        <f>SUM(H26-I26)</f>
        <v>-117783478.70232391</v>
      </c>
    </row>
    <row r="27" spans="1:10" x14ac:dyDescent="0.25">
      <c r="A27" s="121"/>
      <c r="B27" s="122"/>
      <c r="C27" s="134"/>
      <c r="D27" s="49"/>
      <c r="E27" s="136"/>
      <c r="F27" s="51"/>
      <c r="G27" s="120"/>
      <c r="H27" s="49"/>
      <c r="I27" s="136"/>
      <c r="J27" s="51"/>
    </row>
    <row r="28" spans="1:10" x14ac:dyDescent="0.25">
      <c r="A28" s="121"/>
      <c r="B28" s="122" t="s">
        <v>29</v>
      </c>
      <c r="C28" s="134"/>
      <c r="D28" s="52">
        <v>17392678.61732693</v>
      </c>
      <c r="E28" s="137">
        <v>20156198.199999999</v>
      </c>
      <c r="F28" s="54">
        <f>+E28-D28</f>
        <v>2763519.5826730691</v>
      </c>
      <c r="G28" s="120"/>
      <c r="H28" s="55">
        <v>48037967.31160298</v>
      </c>
      <c r="I28" s="131">
        <v>58299575.150000006</v>
      </c>
      <c r="J28" s="138">
        <f>+I28-H28</f>
        <v>10261607.838397026</v>
      </c>
    </row>
    <row r="29" spans="1:10" x14ac:dyDescent="0.25">
      <c r="A29" s="121"/>
      <c r="B29" s="122"/>
      <c r="C29" s="134" t="s">
        <v>30</v>
      </c>
      <c r="D29" s="46">
        <f>SUM(D26-D28)-1</f>
        <v>212186836.72487122</v>
      </c>
      <c r="E29" s="135">
        <f>SUM(E26-E28)</f>
        <v>237225880.60999998</v>
      </c>
      <c r="F29" s="48">
        <f>SUM(F26-F28)</f>
        <v>-30566083.050474908</v>
      </c>
      <c r="G29" s="120"/>
      <c r="H29" s="46">
        <f>SUM(H26-H28)</f>
        <v>1239017109.046073</v>
      </c>
      <c r="I29" s="135">
        <f>SUM(I26-I28)</f>
        <v>1346538979.9099998</v>
      </c>
      <c r="J29" s="48">
        <f>+H29-I29</f>
        <v>-107521870.86392689</v>
      </c>
    </row>
    <row r="30" spans="1:10" x14ac:dyDescent="0.25">
      <c r="A30" s="139" t="s">
        <v>31</v>
      </c>
      <c r="B30" s="122"/>
      <c r="C30" s="123"/>
      <c r="D30" s="57"/>
      <c r="E30" s="131"/>
      <c r="F30" s="19"/>
      <c r="G30" s="120"/>
      <c r="H30" s="17"/>
      <c r="I30" s="131"/>
      <c r="J30" s="19"/>
    </row>
    <row r="31" spans="1:10" x14ac:dyDescent="0.25">
      <c r="A31" s="116" t="s">
        <v>32</v>
      </c>
      <c r="B31" s="140"/>
      <c r="C31" s="141"/>
      <c r="D31" s="17"/>
      <c r="E31" s="131"/>
      <c r="F31" s="19"/>
      <c r="G31" s="120"/>
      <c r="H31" s="17"/>
      <c r="I31" s="131"/>
      <c r="J31" s="19"/>
    </row>
    <row r="32" spans="1:10" x14ac:dyDescent="0.25">
      <c r="A32" s="121" t="s">
        <v>33</v>
      </c>
      <c r="B32" s="122"/>
      <c r="C32" s="123"/>
      <c r="D32" s="61">
        <v>83674825.85286282</v>
      </c>
      <c r="E32" s="142">
        <v>85151104.560000002</v>
      </c>
      <c r="F32" s="63">
        <f>+E32-D32</f>
        <v>1476278.7071371824</v>
      </c>
      <c r="G32" s="120"/>
      <c r="H32" s="28">
        <v>698739738.52632296</v>
      </c>
      <c r="I32" s="142">
        <v>694631216.77999997</v>
      </c>
      <c r="J32" s="79">
        <f>+I32-H32</f>
        <v>-4108521.7463229895</v>
      </c>
    </row>
    <row r="33" spans="1:10" x14ac:dyDescent="0.25">
      <c r="A33" s="121" t="s">
        <v>34</v>
      </c>
      <c r="B33" s="122"/>
      <c r="C33" s="123"/>
      <c r="D33" s="65">
        <v>13083944.627501873</v>
      </c>
      <c r="E33" s="143">
        <v>15418635.859999999</v>
      </c>
      <c r="F33" s="34">
        <f>+E33-D33</f>
        <v>2334691.2324981261</v>
      </c>
      <c r="G33" s="115"/>
      <c r="H33" s="33">
        <v>89815942.188495502</v>
      </c>
      <c r="I33" s="131">
        <v>110053635.41</v>
      </c>
      <c r="J33" s="34">
        <f>+I33-H33</f>
        <v>20237693.221504495</v>
      </c>
    </row>
    <row r="34" spans="1:10" x14ac:dyDescent="0.25">
      <c r="A34" s="121" t="s">
        <v>35</v>
      </c>
      <c r="B34" s="122"/>
      <c r="C34" s="123"/>
      <c r="D34" s="65">
        <v>7274728.1022821516</v>
      </c>
      <c r="E34" s="131">
        <v>7940224.9800000004</v>
      </c>
      <c r="F34" s="34">
        <f t="shared" ref="F34" si="3">+E34-D34</f>
        <v>665496.87771784887</v>
      </c>
      <c r="G34" s="115"/>
      <c r="H34" s="33">
        <v>52730594.97257024</v>
      </c>
      <c r="I34" s="131">
        <v>61477439.030000001</v>
      </c>
      <c r="J34" s="34">
        <f t="shared" ref="J34" si="4">+I34-H34</f>
        <v>8746844.0574297607</v>
      </c>
    </row>
    <row r="35" spans="1:10" x14ac:dyDescent="0.25">
      <c r="A35" s="121" t="s">
        <v>36</v>
      </c>
      <c r="B35" s="122"/>
      <c r="C35" s="123"/>
      <c r="D35" s="65">
        <v>8378093.3438844187</v>
      </c>
      <c r="E35" s="131">
        <v>4019596.7</v>
      </c>
      <c r="F35" s="34">
        <f>+E35-D35+1</f>
        <v>-4358495.6438844185</v>
      </c>
      <c r="G35" s="115"/>
      <c r="H35" s="33">
        <v>33328468.026000038</v>
      </c>
      <c r="I35" s="131">
        <v>29724880.969999999</v>
      </c>
      <c r="J35" s="34">
        <f>+I35-H35</f>
        <v>-3603587.056000039</v>
      </c>
    </row>
    <row r="36" spans="1:10" x14ac:dyDescent="0.25">
      <c r="A36" s="121" t="s">
        <v>37</v>
      </c>
      <c r="B36" s="122"/>
      <c r="C36" s="123"/>
      <c r="D36" s="65">
        <v>2292653.8324029716</v>
      </c>
      <c r="E36" s="131">
        <v>1727912.87</v>
      </c>
      <c r="F36" s="34">
        <f>+E36-D36</f>
        <v>-564740.96240297146</v>
      </c>
      <c r="G36" s="115"/>
      <c r="H36" s="33">
        <v>30687333.569806762</v>
      </c>
      <c r="I36" s="131">
        <v>27801766.780000001</v>
      </c>
      <c r="J36" s="34">
        <f>+I36-H36</f>
        <v>-2885566.7898067608</v>
      </c>
    </row>
    <row r="37" spans="1:10" x14ac:dyDescent="0.25">
      <c r="A37" s="121" t="s">
        <v>38</v>
      </c>
      <c r="B37" s="144"/>
      <c r="C37" s="144"/>
      <c r="D37" s="68">
        <v>0</v>
      </c>
      <c r="E37" s="126">
        <v>0</v>
      </c>
      <c r="F37" s="70">
        <f>+E37-D37</f>
        <v>0</v>
      </c>
      <c r="G37" s="145"/>
      <c r="H37" s="68">
        <v>0</v>
      </c>
      <c r="I37" s="128">
        <v>0</v>
      </c>
      <c r="J37" s="32">
        <f t="shared" ref="J37" si="5">SUM(H37-I37)</f>
        <v>0</v>
      </c>
    </row>
    <row r="38" spans="1:10" x14ac:dyDescent="0.25">
      <c r="A38" s="121"/>
      <c r="B38" s="129" t="s">
        <v>39</v>
      </c>
      <c r="C38" s="123"/>
      <c r="D38" s="37">
        <f>SUM(D32:D37)</f>
        <v>114704245.75893424</v>
      </c>
      <c r="E38" s="130">
        <f>SUM(E32:E37)+1</f>
        <v>114257475.97000001</v>
      </c>
      <c r="F38" s="39">
        <f t="shared" ref="F38:F74" si="6">SUM(D38-E38)</f>
        <v>446769.7889342308</v>
      </c>
      <c r="G38" s="120"/>
      <c r="H38" s="37">
        <f>SUM(H32:H37)+1</f>
        <v>905302078.2831955</v>
      </c>
      <c r="I38" s="130">
        <f>SUM(I32:I37)</f>
        <v>923688938.96999991</v>
      </c>
      <c r="J38" s="39">
        <f>SUM(H38-I38)+2</f>
        <v>-18386858.686804414</v>
      </c>
    </row>
    <row r="39" spans="1:10" x14ac:dyDescent="0.25">
      <c r="A39" s="121" t="s">
        <v>40</v>
      </c>
      <c r="B39" s="122"/>
      <c r="C39" s="123"/>
      <c r="D39" s="61">
        <v>133656.86681707934</v>
      </c>
      <c r="E39" s="142">
        <v>213130.92</v>
      </c>
      <c r="F39" s="63">
        <f>+E39-D39+2</f>
        <v>79476.053182920674</v>
      </c>
      <c r="G39" s="120"/>
      <c r="H39" s="40">
        <v>818905.94536733837</v>
      </c>
      <c r="I39" s="124">
        <v>1282303.1499999999</v>
      </c>
      <c r="J39" s="63">
        <f>+I39-H39</f>
        <v>463397.20463266154</v>
      </c>
    </row>
    <row r="40" spans="1:10" x14ac:dyDescent="0.25">
      <c r="A40" s="121" t="s">
        <v>41</v>
      </c>
      <c r="B40" s="122"/>
      <c r="C40" s="123"/>
      <c r="D40" s="17">
        <v>74715.859323034601</v>
      </c>
      <c r="E40" s="146">
        <v>37167.42</v>
      </c>
      <c r="F40" s="32">
        <f>+E40-D40-1</f>
        <v>-37549.439323034603</v>
      </c>
      <c r="G40" s="120"/>
      <c r="H40" s="17">
        <v>947072.47246743867</v>
      </c>
      <c r="I40" s="131">
        <v>762802.20000000007</v>
      </c>
      <c r="J40" s="32">
        <f>+I40-H40</f>
        <v>-184270.2724674386</v>
      </c>
    </row>
    <row r="41" spans="1:10" x14ac:dyDescent="0.25">
      <c r="A41" s="121" t="s">
        <v>42</v>
      </c>
      <c r="B41" s="122"/>
      <c r="C41" s="123"/>
      <c r="D41" s="17">
        <v>185413.26003023813</v>
      </c>
      <c r="E41" s="146">
        <v>377085.32</v>
      </c>
      <c r="F41" s="32">
        <f>+E41-D41</f>
        <v>191672.05996976187</v>
      </c>
      <c r="G41" s="120"/>
      <c r="H41" s="17">
        <v>2275269.283965081</v>
      </c>
      <c r="I41" s="131">
        <v>2916591.26</v>
      </c>
      <c r="J41" s="32">
        <f t="shared" ref="J41:J45" si="7">+I41-H41</f>
        <v>641321.9760349188</v>
      </c>
    </row>
    <row r="42" spans="1:10" x14ac:dyDescent="0.25">
      <c r="A42" s="121" t="s">
        <v>43</v>
      </c>
      <c r="B42" s="122"/>
      <c r="C42" s="123"/>
      <c r="D42" s="17">
        <v>719.7514452397586</v>
      </c>
      <c r="E42" s="146">
        <v>53389.83</v>
      </c>
      <c r="F42" s="32">
        <f t="shared" ref="F42:F45" si="8">+E42-D42</f>
        <v>52670.078554760243</v>
      </c>
      <c r="G42" s="120"/>
      <c r="H42" s="17">
        <v>71745.990221759857</v>
      </c>
      <c r="I42" s="131">
        <v>367639.77999999997</v>
      </c>
      <c r="J42" s="32">
        <f t="shared" si="7"/>
        <v>295893.78977824014</v>
      </c>
    </row>
    <row r="43" spans="1:10" x14ac:dyDescent="0.25">
      <c r="A43" s="121" t="s">
        <v>44</v>
      </c>
      <c r="B43" s="122"/>
      <c r="C43" s="123"/>
      <c r="D43" s="17">
        <v>414.44421031080145</v>
      </c>
      <c r="E43" s="146">
        <v>77705.070000000007</v>
      </c>
      <c r="F43" s="32">
        <f t="shared" si="8"/>
        <v>77290.625789689206</v>
      </c>
      <c r="G43" s="120"/>
      <c r="H43" s="17">
        <v>391290.39550249063</v>
      </c>
      <c r="I43" s="131">
        <v>518375.89</v>
      </c>
      <c r="J43" s="32">
        <f>+I43-H43+1</f>
        <v>127086.49449750938</v>
      </c>
    </row>
    <row r="44" spans="1:10" x14ac:dyDescent="0.25">
      <c r="A44" s="121" t="s">
        <v>45</v>
      </c>
      <c r="B44" s="122"/>
      <c r="C44" s="123"/>
      <c r="D44" s="35">
        <v>0</v>
      </c>
      <c r="E44" s="146">
        <v>0</v>
      </c>
      <c r="F44" s="32">
        <f t="shared" si="8"/>
        <v>0</v>
      </c>
      <c r="G44" s="73"/>
      <c r="H44" s="35">
        <v>0</v>
      </c>
      <c r="I44" s="128">
        <v>0</v>
      </c>
      <c r="J44" s="32">
        <f t="shared" si="7"/>
        <v>0</v>
      </c>
    </row>
    <row r="45" spans="1:10" x14ac:dyDescent="0.25">
      <c r="A45" s="121" t="s">
        <v>46</v>
      </c>
      <c r="B45" s="122"/>
      <c r="C45" s="123"/>
      <c r="D45" s="17">
        <v>53537.264748590911</v>
      </c>
      <c r="E45" s="146">
        <v>6318.33</v>
      </c>
      <c r="F45" s="32">
        <f t="shared" si="8"/>
        <v>-47218.934748590909</v>
      </c>
      <c r="G45" s="120"/>
      <c r="H45" s="17">
        <v>220354.97967253119</v>
      </c>
      <c r="I45" s="131">
        <v>216172.89999999997</v>
      </c>
      <c r="J45" s="32">
        <f t="shared" si="7"/>
        <v>-4182.0796725312248</v>
      </c>
    </row>
    <row r="46" spans="1:10" x14ac:dyDescent="0.25">
      <c r="A46" s="121" t="s">
        <v>47</v>
      </c>
      <c r="B46" s="122"/>
      <c r="C46" s="123"/>
      <c r="D46" s="17">
        <v>3522.8520072666961</v>
      </c>
      <c r="E46" s="146">
        <v>20077.79</v>
      </c>
      <c r="F46" s="32">
        <f>+E46-D46</f>
        <v>16554.937992733307</v>
      </c>
      <c r="G46" s="120"/>
      <c r="H46" s="17">
        <v>41838.575693766928</v>
      </c>
      <c r="I46" s="131">
        <v>128495.12</v>
      </c>
      <c r="J46" s="32">
        <f>+I46-H46-1</f>
        <v>86655.54430623306</v>
      </c>
    </row>
    <row r="47" spans="1:10" x14ac:dyDescent="0.25">
      <c r="A47" s="121"/>
      <c r="B47" s="129" t="s">
        <v>48</v>
      </c>
      <c r="C47" s="123"/>
      <c r="D47" s="37">
        <f>SUM(D39:D46)</f>
        <v>451980.29858176026</v>
      </c>
      <c r="E47" s="130">
        <f>SUM(E39:E46)-1</f>
        <v>784873.68</v>
      </c>
      <c r="F47" s="39">
        <f>SUM(D47-E47)-1</f>
        <v>-332894.38141823979</v>
      </c>
      <c r="G47" s="120"/>
      <c r="H47" s="37">
        <f>SUM(H39:H46)-1</f>
        <v>4766476.6428904068</v>
      </c>
      <c r="I47" s="130">
        <f>SUM(I39:I46)</f>
        <v>6192380.2999999998</v>
      </c>
      <c r="J47" s="39">
        <f>SUM(H47-I47)</f>
        <v>-1425903.657109593</v>
      </c>
    </row>
    <row r="48" spans="1:10" x14ac:dyDescent="0.25">
      <c r="A48" s="121"/>
      <c r="B48" s="122"/>
      <c r="C48" s="134" t="s">
        <v>49</v>
      </c>
      <c r="D48" s="76">
        <f>SUM(D47,D38)</f>
        <v>115156226.05751601</v>
      </c>
      <c r="E48" s="147">
        <f>SUM(E47,E38)</f>
        <v>115042349.65000002</v>
      </c>
      <c r="F48" s="39">
        <f t="shared" si="6"/>
        <v>113876.40751598775</v>
      </c>
      <c r="G48" s="120"/>
      <c r="H48" s="76">
        <f>SUM(H47,H38)</f>
        <v>910068554.92608595</v>
      </c>
      <c r="I48" s="148">
        <f>SUM(I47,I38)</f>
        <v>929881319.26999986</v>
      </c>
      <c r="J48" s="39">
        <f t="shared" ref="J48:J53" si="9">SUM(H48-I48)</f>
        <v>-19812764.343913913</v>
      </c>
    </row>
    <row r="49" spans="1:10" x14ac:dyDescent="0.25">
      <c r="A49" s="121" t="s">
        <v>50</v>
      </c>
      <c r="B49" s="122"/>
      <c r="C49" s="123"/>
      <c r="D49" s="149">
        <v>14999.726656990344</v>
      </c>
      <c r="E49" s="150">
        <v>17400</v>
      </c>
      <c r="F49" s="79">
        <f>+E49-D49</f>
        <v>2400.2733430096559</v>
      </c>
      <c r="G49" s="120"/>
      <c r="H49" s="40">
        <v>219009.84597043792</v>
      </c>
      <c r="I49" s="151">
        <v>34800</v>
      </c>
      <c r="J49" s="63">
        <f t="shared" si="9"/>
        <v>184209.84597043792</v>
      </c>
    </row>
    <row r="50" spans="1:10" x14ac:dyDescent="0.25">
      <c r="A50" s="121" t="s">
        <v>51</v>
      </c>
      <c r="B50" s="122"/>
      <c r="C50" s="123"/>
      <c r="D50" s="30">
        <v>23386.461590155359</v>
      </c>
      <c r="E50" s="152">
        <v>13460</v>
      </c>
      <c r="F50" s="34">
        <f>+E50-D50</f>
        <v>-9926.4615901553589</v>
      </c>
      <c r="G50" s="120"/>
      <c r="H50" s="35">
        <v>276592.03845724417</v>
      </c>
      <c r="I50" s="152">
        <v>103580.5</v>
      </c>
      <c r="J50" s="32">
        <f>SUM(H50-I50)-1</f>
        <v>173010.53845724417</v>
      </c>
    </row>
    <row r="51" spans="1:10" x14ac:dyDescent="0.25">
      <c r="A51" s="121" t="s">
        <v>52</v>
      </c>
      <c r="B51" s="122"/>
      <c r="C51" s="123"/>
      <c r="D51" s="30">
        <v>0</v>
      </c>
      <c r="E51" s="125">
        <v>0</v>
      </c>
      <c r="F51" s="34">
        <f>+E51-D51</f>
        <v>0</v>
      </c>
      <c r="G51" s="120"/>
      <c r="H51" s="35">
        <v>0</v>
      </c>
      <c r="I51" s="152">
        <v>85326500</v>
      </c>
      <c r="J51" s="34">
        <f t="shared" si="9"/>
        <v>-85326500</v>
      </c>
    </row>
    <row r="52" spans="1:10" x14ac:dyDescent="0.25">
      <c r="A52" s="121" t="s">
        <v>53</v>
      </c>
      <c r="B52" s="122"/>
      <c r="C52" s="123"/>
      <c r="D52" s="30">
        <v>12735707.295294747</v>
      </c>
      <c r="E52" s="125">
        <v>13705585.27</v>
      </c>
      <c r="F52" s="32">
        <f>+E52-D52</f>
        <v>969877.9747052528</v>
      </c>
      <c r="G52" s="120"/>
      <c r="H52" s="35">
        <v>59567370.470449835</v>
      </c>
      <c r="I52" s="152">
        <v>61319749.859999999</v>
      </c>
      <c r="J52" s="34">
        <f>SUM(H52-I52)-1</f>
        <v>-1752380.3895501643</v>
      </c>
    </row>
    <row r="53" spans="1:10" x14ac:dyDescent="0.25">
      <c r="A53" s="121" t="s">
        <v>54</v>
      </c>
      <c r="B53" s="122"/>
      <c r="C53" s="123"/>
      <c r="D53" s="30">
        <v>10942102.104394136</v>
      </c>
      <c r="E53" s="152">
        <v>0</v>
      </c>
      <c r="F53" s="32">
        <f t="shared" ref="F53:F58" si="10">+E53-D53</f>
        <v>-10942102.104394136</v>
      </c>
      <c r="G53" s="120"/>
      <c r="H53" s="35">
        <v>11042688.921720942</v>
      </c>
      <c r="I53" s="153">
        <v>35473</v>
      </c>
      <c r="J53" s="34">
        <f t="shared" si="9"/>
        <v>11007215.921720942</v>
      </c>
    </row>
    <row r="54" spans="1:10" x14ac:dyDescent="0.25">
      <c r="A54" s="121" t="s">
        <v>55</v>
      </c>
      <c r="B54" s="122"/>
      <c r="C54" s="123"/>
      <c r="D54" s="30">
        <v>2478050.6853882186</v>
      </c>
      <c r="E54" s="152">
        <v>554272.43000000005</v>
      </c>
      <c r="F54" s="32">
        <f>+E54-D54-1</f>
        <v>-1923779.2553882184</v>
      </c>
      <c r="G54" s="120"/>
      <c r="H54" s="35">
        <v>22948396.519302722</v>
      </c>
      <c r="I54" s="152">
        <v>3062485.48</v>
      </c>
      <c r="J54" s="34">
        <f>SUM(H54-I54)+1</f>
        <v>19885912.039302722</v>
      </c>
    </row>
    <row r="55" spans="1:10" x14ac:dyDescent="0.25">
      <c r="A55" s="121" t="s">
        <v>56</v>
      </c>
      <c r="B55" s="122"/>
      <c r="C55" s="123"/>
      <c r="D55" s="30">
        <v>1915611.2038884063</v>
      </c>
      <c r="E55" s="152">
        <v>1054447.32</v>
      </c>
      <c r="F55" s="32">
        <f t="shared" si="10"/>
        <v>-861163.88388840621</v>
      </c>
      <c r="G55" s="120"/>
      <c r="H55" s="35">
        <v>8637750.563808836</v>
      </c>
      <c r="I55" s="152">
        <v>3922235.2</v>
      </c>
      <c r="J55" s="34">
        <f>SUM(H55-I55)-1</f>
        <v>4715514.3638088359</v>
      </c>
    </row>
    <row r="56" spans="1:10" x14ac:dyDescent="0.25">
      <c r="A56" s="121" t="s">
        <v>57</v>
      </c>
      <c r="B56" s="122"/>
      <c r="C56" s="123"/>
      <c r="D56" s="30">
        <v>823617.76065178681</v>
      </c>
      <c r="E56" s="152">
        <v>778922.98</v>
      </c>
      <c r="F56" s="32">
        <f t="shared" si="10"/>
        <v>-44694.78065178683</v>
      </c>
      <c r="G56" s="120"/>
      <c r="H56" s="35">
        <v>6456346.6265003216</v>
      </c>
      <c r="I56" s="153">
        <v>1260342.98</v>
      </c>
      <c r="J56" s="34">
        <f t="shared" ref="J56:J57" si="11">SUM(H56-I56)</f>
        <v>5196003.6465003211</v>
      </c>
    </row>
    <row r="57" spans="1:10" x14ac:dyDescent="0.25">
      <c r="A57" s="121" t="s">
        <v>58</v>
      </c>
      <c r="B57" s="122"/>
      <c r="C57" s="123"/>
      <c r="D57" s="30">
        <v>6897905.8157675993</v>
      </c>
      <c r="E57" s="152">
        <v>2326223.58</v>
      </c>
      <c r="F57" s="32">
        <f t="shared" si="10"/>
        <v>-4571682.2357675992</v>
      </c>
      <c r="G57" s="120"/>
      <c r="H57" s="35">
        <v>15738791.503221294</v>
      </c>
      <c r="I57" s="152">
        <v>9066266.9399999995</v>
      </c>
      <c r="J57" s="34">
        <f t="shared" si="11"/>
        <v>6672524.5632212944</v>
      </c>
    </row>
    <row r="58" spans="1:10" x14ac:dyDescent="0.25">
      <c r="A58" s="121" t="s">
        <v>59</v>
      </c>
      <c r="B58" s="122"/>
      <c r="C58" s="123"/>
      <c r="D58" s="30">
        <v>247085.32819553601</v>
      </c>
      <c r="E58" s="152">
        <v>293102.45</v>
      </c>
      <c r="F58" s="32">
        <f t="shared" si="10"/>
        <v>46017.121804463997</v>
      </c>
      <c r="G58" s="120"/>
      <c r="H58" s="35">
        <v>584477.59845400497</v>
      </c>
      <c r="I58" s="153">
        <v>1602918.3499999999</v>
      </c>
      <c r="J58" s="32">
        <f>SUM(H58-I58)+1</f>
        <v>-1018439.7515459949</v>
      </c>
    </row>
    <row r="59" spans="1:10" x14ac:dyDescent="0.25">
      <c r="A59" s="121" t="s">
        <v>60</v>
      </c>
      <c r="B59" s="122"/>
      <c r="C59" s="123"/>
      <c r="D59" s="30">
        <v>0</v>
      </c>
      <c r="E59" s="154">
        <v>0</v>
      </c>
      <c r="F59" s="32">
        <f>+E59-D59</f>
        <v>0</v>
      </c>
      <c r="G59" s="120"/>
      <c r="H59" s="30">
        <v>0</v>
      </c>
      <c r="I59" s="154">
        <v>0</v>
      </c>
      <c r="J59" s="32">
        <f>SUM(H59-I59)</f>
        <v>0</v>
      </c>
    </row>
    <row r="60" spans="1:10" x14ac:dyDescent="0.25">
      <c r="A60" s="121"/>
      <c r="B60" s="129" t="s">
        <v>61</v>
      </c>
      <c r="C60" s="123"/>
      <c r="D60" s="83">
        <f>SUM(D49:D59)</f>
        <v>36078466.38182757</v>
      </c>
      <c r="E60" s="148">
        <f>SUM(E49:E59)-1</f>
        <v>18743413.029999997</v>
      </c>
      <c r="F60" s="39">
        <f>SUM(D60-E60)</f>
        <v>17335053.351827573</v>
      </c>
      <c r="G60" s="120"/>
      <c r="H60" s="83">
        <f>SUM(H49:H59)+2</f>
        <v>125471426.08788562</v>
      </c>
      <c r="I60" s="155">
        <f>SUM(I49:I59)</f>
        <v>165734352.30999997</v>
      </c>
      <c r="J60" s="39">
        <f>SUM(H60-I60)+2</f>
        <v>-40262924.222114354</v>
      </c>
    </row>
    <row r="61" spans="1:10" x14ac:dyDescent="0.25">
      <c r="A61" s="121"/>
      <c r="B61" s="122"/>
      <c r="C61" s="134" t="s">
        <v>62</v>
      </c>
      <c r="D61" s="85">
        <f>SUM(D48+D60)</f>
        <v>151234692.43934357</v>
      </c>
      <c r="E61" s="156">
        <f>SUM(E48+E60)</f>
        <v>133785762.68000002</v>
      </c>
      <c r="F61" s="48">
        <f>SUM(D61-E61)-1</f>
        <v>17448928.75934355</v>
      </c>
      <c r="G61" s="120"/>
      <c r="H61" s="85">
        <f>SUM(H48+H60)</f>
        <v>1035539981.0139716</v>
      </c>
      <c r="I61" s="156">
        <f>SUM(I48+I60)-1</f>
        <v>1095615670.5799999</v>
      </c>
      <c r="J61" s="48">
        <f>SUM(H61-I61)</f>
        <v>-60075689.566028357</v>
      </c>
    </row>
    <row r="62" spans="1:10" x14ac:dyDescent="0.25">
      <c r="A62" s="139" t="s">
        <v>63</v>
      </c>
      <c r="B62" s="122"/>
      <c r="C62" s="134"/>
      <c r="D62" s="17"/>
      <c r="E62" s="157"/>
      <c r="F62" s="19"/>
      <c r="G62" s="120"/>
      <c r="H62" s="17"/>
      <c r="I62" s="158"/>
      <c r="J62" s="19"/>
    </row>
    <row r="63" spans="1:10" x14ac:dyDescent="0.25">
      <c r="A63" s="121" t="s">
        <v>33</v>
      </c>
      <c r="B63" s="122"/>
      <c r="C63" s="134"/>
      <c r="D63" s="40">
        <v>304232.02</v>
      </c>
      <c r="E63" s="124">
        <v>304232.02</v>
      </c>
      <c r="F63" s="27">
        <f t="shared" si="6"/>
        <v>0</v>
      </c>
      <c r="G63" s="120"/>
      <c r="H63" s="40">
        <v>762332.02</v>
      </c>
      <c r="I63" s="124">
        <v>762332.02</v>
      </c>
      <c r="J63" s="27">
        <f t="shared" ref="J63:J72" si="12">SUM(H63-I63)</f>
        <v>0</v>
      </c>
    </row>
    <row r="64" spans="1:10" x14ac:dyDescent="0.25">
      <c r="A64" s="121" t="s">
        <v>34</v>
      </c>
      <c r="B64" s="122"/>
      <c r="C64" s="134"/>
      <c r="D64" s="35">
        <v>1092382.02</v>
      </c>
      <c r="E64" s="152">
        <v>1092382.02</v>
      </c>
      <c r="F64" s="32">
        <f t="shared" si="6"/>
        <v>0</v>
      </c>
      <c r="G64" s="120"/>
      <c r="H64" s="88">
        <f>13600397.11-2</f>
        <v>13600395.109999999</v>
      </c>
      <c r="I64" s="152">
        <v>13600394.890000002</v>
      </c>
      <c r="J64" s="32">
        <f>SUM(H64-I64)-0.5</f>
        <v>-0.28000000305473804</v>
      </c>
    </row>
    <row r="65" spans="1:10" x14ac:dyDescent="0.25">
      <c r="A65" s="121" t="s">
        <v>64</v>
      </c>
      <c r="B65" s="122"/>
      <c r="C65" s="134"/>
      <c r="D65" s="35">
        <v>617025.31000000006</v>
      </c>
      <c r="E65" s="125">
        <v>617025.31000000006</v>
      </c>
      <c r="F65" s="32">
        <f t="shared" si="6"/>
        <v>0</v>
      </c>
      <c r="G65" s="120"/>
      <c r="H65" s="88">
        <f>7026139.94+1</f>
        <v>7026140.9400000004</v>
      </c>
      <c r="I65" s="152">
        <v>7026140.9399999995</v>
      </c>
      <c r="J65" s="32">
        <f t="shared" si="12"/>
        <v>9.3132257461547852E-10</v>
      </c>
    </row>
    <row r="66" spans="1:10" x14ac:dyDescent="0.25">
      <c r="A66" s="121" t="s">
        <v>36</v>
      </c>
      <c r="B66" s="122"/>
      <c r="C66" s="134"/>
      <c r="D66" s="35">
        <f>33177.83+1</f>
        <v>33178.83</v>
      </c>
      <c r="E66" s="125">
        <v>33178.83</v>
      </c>
      <c r="F66" s="32">
        <f t="shared" si="6"/>
        <v>0</v>
      </c>
      <c r="G66" s="120"/>
      <c r="H66" s="88">
        <f>2045079.85+1</f>
        <v>2045080.85</v>
      </c>
      <c r="I66" s="125">
        <v>2045080.85</v>
      </c>
      <c r="J66" s="32">
        <f t="shared" si="12"/>
        <v>0</v>
      </c>
    </row>
    <row r="67" spans="1:10" x14ac:dyDescent="0.25">
      <c r="A67" s="121" t="s">
        <v>65</v>
      </c>
      <c r="B67" s="122"/>
      <c r="C67" s="134"/>
      <c r="D67" s="35">
        <v>0</v>
      </c>
      <c r="E67" s="125">
        <v>0</v>
      </c>
      <c r="F67" s="32">
        <f t="shared" si="6"/>
        <v>0</v>
      </c>
      <c r="G67" s="120"/>
      <c r="H67" s="89">
        <v>0</v>
      </c>
      <c r="I67" s="125">
        <v>0</v>
      </c>
      <c r="J67" s="32">
        <f t="shared" si="12"/>
        <v>0</v>
      </c>
    </row>
    <row r="68" spans="1:10" x14ac:dyDescent="0.25">
      <c r="A68" s="121" t="s">
        <v>37</v>
      </c>
      <c r="B68" s="122"/>
      <c r="C68" s="134"/>
      <c r="D68" s="35">
        <f>540542.2+1</f>
        <v>540543.19999999995</v>
      </c>
      <c r="E68" s="125">
        <v>540543.19999999995</v>
      </c>
      <c r="F68" s="32">
        <f t="shared" si="6"/>
        <v>0</v>
      </c>
      <c r="G68" s="120"/>
      <c r="H68" s="88">
        <f>3932392.55+2</f>
        <v>3932394.55</v>
      </c>
      <c r="I68" s="125">
        <v>3932394.55</v>
      </c>
      <c r="J68" s="32">
        <f t="shared" si="12"/>
        <v>0</v>
      </c>
    </row>
    <row r="69" spans="1:10" x14ac:dyDescent="0.25">
      <c r="A69" s="121"/>
      <c r="B69" s="129" t="s">
        <v>66</v>
      </c>
      <c r="C69" s="134"/>
      <c r="D69" s="90">
        <f>SUM(D63:D68)</f>
        <v>2587361.38</v>
      </c>
      <c r="E69" s="159">
        <f>SUM(E63:E68)</f>
        <v>2587361.38</v>
      </c>
      <c r="F69" s="92">
        <f t="shared" si="6"/>
        <v>0</v>
      </c>
      <c r="G69" s="120"/>
      <c r="H69" s="90">
        <f>SUM(H63:H68)+2</f>
        <v>27366345.470000003</v>
      </c>
      <c r="I69" s="159">
        <f>SUM(I63:I68)+1</f>
        <v>27366344.250000004</v>
      </c>
      <c r="J69" s="92">
        <f>SUM(H69-I69)-1.5</f>
        <v>-0.2800000011920929</v>
      </c>
    </row>
    <row r="70" spans="1:10" x14ac:dyDescent="0.25">
      <c r="A70" s="121" t="s">
        <v>53</v>
      </c>
      <c r="B70" s="129"/>
      <c r="C70" s="134"/>
      <c r="D70" s="40">
        <v>828650.97</v>
      </c>
      <c r="E70" s="124">
        <v>828650.97</v>
      </c>
      <c r="F70" s="27">
        <f t="shared" si="6"/>
        <v>0</v>
      </c>
      <c r="G70" s="120"/>
      <c r="H70" s="40">
        <v>26029109.149999999</v>
      </c>
      <c r="I70" s="124">
        <v>26029109.149999999</v>
      </c>
      <c r="J70" s="32">
        <f t="shared" si="12"/>
        <v>0</v>
      </c>
    </row>
    <row r="71" spans="1:10" x14ac:dyDescent="0.25">
      <c r="A71" s="121" t="s">
        <v>67</v>
      </c>
      <c r="B71" s="122"/>
      <c r="C71" s="134"/>
      <c r="D71" s="35">
        <v>861229.1399999999</v>
      </c>
      <c r="E71" s="152">
        <v>861229.1399999999</v>
      </c>
      <c r="F71" s="32">
        <f t="shared" si="6"/>
        <v>0</v>
      </c>
      <c r="G71" s="120"/>
      <c r="H71" s="88">
        <f>22584574.53-3</f>
        <v>22584571.530000001</v>
      </c>
      <c r="I71" s="131">
        <v>22584571.530000001</v>
      </c>
      <c r="J71" s="32">
        <f t="shared" si="12"/>
        <v>0</v>
      </c>
    </row>
    <row r="72" spans="1:10" x14ac:dyDescent="0.25">
      <c r="A72" s="121" t="s">
        <v>68</v>
      </c>
      <c r="B72" s="122"/>
      <c r="C72" s="134"/>
      <c r="D72" s="35">
        <v>0</v>
      </c>
      <c r="E72" s="125">
        <v>0</v>
      </c>
      <c r="F72" s="32">
        <f t="shared" si="6"/>
        <v>0</v>
      </c>
      <c r="G72" s="120"/>
      <c r="H72" s="35">
        <f>14487.57-1</f>
        <v>14486.57</v>
      </c>
      <c r="I72" s="125">
        <v>14486.57</v>
      </c>
      <c r="J72" s="32">
        <f t="shared" si="12"/>
        <v>0</v>
      </c>
    </row>
    <row r="73" spans="1:10" x14ac:dyDescent="0.25">
      <c r="A73" s="121"/>
      <c r="B73" s="129" t="s">
        <v>69</v>
      </c>
      <c r="C73" s="123"/>
      <c r="D73" s="90">
        <f>SUM(D70:D72)</f>
        <v>1689880.1099999999</v>
      </c>
      <c r="E73" s="159">
        <f>SUM(E70:E72)</f>
        <v>1689880.1099999999</v>
      </c>
      <c r="F73" s="92">
        <f>SUM(F70:F72)</f>
        <v>0</v>
      </c>
      <c r="G73" s="120"/>
      <c r="H73" s="90">
        <f>SUM(H70:H72)</f>
        <v>48628167.25</v>
      </c>
      <c r="I73" s="159">
        <f>SUM(I70:I72)+1</f>
        <v>48628168.25</v>
      </c>
      <c r="J73" s="92">
        <f>SUM(J70:J72)</f>
        <v>0</v>
      </c>
    </row>
    <row r="74" spans="1:10" x14ac:dyDescent="0.25">
      <c r="A74" s="121"/>
      <c r="B74" s="129"/>
      <c r="C74" s="134" t="s">
        <v>70</v>
      </c>
      <c r="D74" s="46">
        <f>SUM(D73,D69)</f>
        <v>4277241.49</v>
      </c>
      <c r="E74" s="135">
        <f>SUM(E73,E69)</f>
        <v>4277241.49</v>
      </c>
      <c r="F74" s="48">
        <f t="shared" si="6"/>
        <v>0</v>
      </c>
      <c r="G74" s="120"/>
      <c r="H74" s="46">
        <f>SUM(H73,H69)-1</f>
        <v>75994511.719999999</v>
      </c>
      <c r="I74" s="135">
        <f>SUM(I73,I69)-0.05</f>
        <v>75994512.450000003</v>
      </c>
      <c r="J74" s="160">
        <f>SUM(H74-I74)+1</f>
        <v>0.26999999582767487</v>
      </c>
    </row>
    <row r="75" spans="1:10" x14ac:dyDescent="0.25">
      <c r="A75" s="121"/>
      <c r="B75" s="122"/>
      <c r="C75" s="123"/>
      <c r="D75" s="17"/>
      <c r="E75" s="131"/>
      <c r="F75" s="19"/>
      <c r="G75" s="120"/>
      <c r="H75" s="17"/>
      <c r="I75" s="131"/>
      <c r="J75" s="19"/>
    </row>
    <row r="76" spans="1:10" x14ac:dyDescent="0.25">
      <c r="A76" s="121"/>
      <c r="B76" s="122"/>
      <c r="C76" s="134" t="s">
        <v>71</v>
      </c>
      <c r="D76" s="95">
        <f>SUM(D61+D74)-1</f>
        <v>155511932.92934358</v>
      </c>
      <c r="E76" s="161">
        <f>SUM(E61+E74)</f>
        <v>138063004.17000002</v>
      </c>
      <c r="F76" s="48">
        <f>SUM(F61+F74)</f>
        <v>17448928.75934355</v>
      </c>
      <c r="G76" s="120"/>
      <c r="H76" s="95">
        <f>SUM(H61+H74)</f>
        <v>1111534492.7339716</v>
      </c>
      <c r="I76" s="161">
        <f>SUM(I61+I74)</f>
        <v>1171610183.03</v>
      </c>
      <c r="J76" s="48">
        <f>SUM(J61+J74)-1</f>
        <v>-60075690.296028361</v>
      </c>
    </row>
    <row r="77" spans="1:10" ht="15.75" thickBot="1" x14ac:dyDescent="0.3">
      <c r="A77" s="162" t="s">
        <v>72</v>
      </c>
      <c r="B77" s="163"/>
      <c r="C77" s="164"/>
      <c r="D77" s="100"/>
      <c r="E77" s="165">
        <f>SUM(E29-E76)+1</f>
        <v>99162877.439999968</v>
      </c>
      <c r="F77" s="102"/>
      <c r="G77" s="166"/>
      <c r="H77" s="100"/>
      <c r="I77" s="165">
        <f>SUM(I29-I76)</f>
        <v>174928796.87999988</v>
      </c>
      <c r="J77" s="102"/>
    </row>
  </sheetData>
  <mergeCells count="5">
    <mergeCell ref="A1:J1"/>
    <mergeCell ref="A2:J2"/>
    <mergeCell ref="A3:J3"/>
    <mergeCell ref="D4:F4"/>
    <mergeCell ref="H4:J4"/>
  </mergeCells>
  <pageMargins left="0.7" right="0.7" top="0.75" bottom="0.75" header="0.3" footer="0.3"/>
  <ignoredErrors>
    <ignoredError sqref="F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67" workbookViewId="0">
      <selection activeCell="F85" sqref="F85"/>
    </sheetView>
  </sheetViews>
  <sheetFormatPr baseColWidth="10" defaultRowHeight="15" x14ac:dyDescent="0.25"/>
  <cols>
    <col min="4" max="5" width="13.28515625" bestFit="1" customWidth="1"/>
    <col min="6" max="6" width="12.85546875" bestFit="1" customWidth="1"/>
    <col min="7" max="7" width="6" customWidth="1"/>
    <col min="8" max="9" width="14.85546875" bestFit="1" customWidth="1"/>
    <col min="10" max="10" width="13.85546875" bestFit="1" customWidth="1"/>
  </cols>
  <sheetData>
    <row r="1" spans="1:10" ht="18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ht="15.75" x14ac:dyDescent="0.25">
      <c r="A2" s="170" t="s">
        <v>1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16.5" thickBot="1" x14ac:dyDescent="0.3">
      <c r="A3" s="173" t="s">
        <v>2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0" ht="15.75" thickBot="1" x14ac:dyDescent="0.3">
      <c r="A4" s="1"/>
      <c r="B4" s="2"/>
      <c r="C4" s="3"/>
      <c r="D4" s="176" t="s">
        <v>75</v>
      </c>
      <c r="E4" s="177"/>
      <c r="F4" s="178"/>
      <c r="G4" s="4"/>
      <c r="H4" s="176" t="s">
        <v>76</v>
      </c>
      <c r="I4" s="177"/>
      <c r="J4" s="178"/>
    </row>
    <row r="5" spans="1:10" x14ac:dyDescent="0.25">
      <c r="A5" s="5"/>
      <c r="B5" s="6"/>
      <c r="C5" s="7"/>
      <c r="D5" s="8" t="s">
        <v>5</v>
      </c>
      <c r="E5" s="9" t="s">
        <v>6</v>
      </c>
      <c r="F5" s="10" t="s">
        <v>7</v>
      </c>
      <c r="G5" s="11"/>
      <c r="H5" s="8" t="s">
        <v>5</v>
      </c>
      <c r="I5" s="12" t="s">
        <v>6</v>
      </c>
      <c r="J5" s="13" t="s">
        <v>7</v>
      </c>
    </row>
    <row r="6" spans="1:10" x14ac:dyDescent="0.25">
      <c r="A6" s="14" t="s">
        <v>8</v>
      </c>
      <c r="B6" s="15"/>
      <c r="C6" s="16"/>
      <c r="D6" s="17"/>
      <c r="E6" s="18"/>
      <c r="F6" s="19"/>
      <c r="G6" s="20"/>
      <c r="H6" s="17"/>
      <c r="I6" s="18"/>
      <c r="J6" s="21"/>
    </row>
    <row r="7" spans="1:10" x14ac:dyDescent="0.25">
      <c r="A7" s="22" t="s">
        <v>9</v>
      </c>
      <c r="B7" s="23"/>
      <c r="C7" s="24"/>
      <c r="D7" s="25">
        <v>41476000</v>
      </c>
      <c r="E7" s="26">
        <v>54527123</v>
      </c>
      <c r="F7" s="27">
        <v>13051123</v>
      </c>
      <c r="G7" s="20"/>
      <c r="H7" s="28">
        <v>618994620</v>
      </c>
      <c r="I7" s="26">
        <v>586995786</v>
      </c>
      <c r="J7" s="29">
        <v>-31998834</v>
      </c>
    </row>
    <row r="8" spans="1:10" x14ac:dyDescent="0.25">
      <c r="A8" s="22" t="s">
        <v>10</v>
      </c>
      <c r="B8" s="23"/>
      <c r="C8" s="24"/>
      <c r="D8" s="30">
        <v>28446732</v>
      </c>
      <c r="E8" s="31">
        <v>51347730</v>
      </c>
      <c r="F8" s="32">
        <v>22900998</v>
      </c>
      <c r="G8" s="20"/>
      <c r="H8" s="33">
        <v>312915424</v>
      </c>
      <c r="I8" s="18">
        <v>321117350</v>
      </c>
      <c r="J8" s="34">
        <v>8201926</v>
      </c>
    </row>
    <row r="9" spans="1:10" x14ac:dyDescent="0.25">
      <c r="A9" s="22" t="s">
        <v>11</v>
      </c>
      <c r="B9" s="23"/>
      <c r="C9" s="24"/>
      <c r="D9" s="35"/>
      <c r="E9" s="31"/>
      <c r="F9" s="32">
        <v>0</v>
      </c>
      <c r="G9" s="36"/>
      <c r="H9" s="127">
        <v>0</v>
      </c>
      <c r="I9" s="31">
        <v>0</v>
      </c>
      <c r="J9" s="34">
        <v>0</v>
      </c>
    </row>
    <row r="10" spans="1:10" x14ac:dyDescent="0.25">
      <c r="A10" s="22"/>
      <c r="B10" s="6" t="s">
        <v>12</v>
      </c>
      <c r="C10" s="24"/>
      <c r="D10" s="37">
        <v>69922732</v>
      </c>
      <c r="E10" s="38">
        <v>105874853</v>
      </c>
      <c r="F10" s="39">
        <v>-35952121</v>
      </c>
      <c r="G10" s="20"/>
      <c r="H10" s="37">
        <v>931910044</v>
      </c>
      <c r="I10" s="38">
        <v>908113136</v>
      </c>
      <c r="J10" s="39">
        <v>23796908</v>
      </c>
    </row>
    <row r="11" spans="1:10" x14ac:dyDescent="0.25">
      <c r="A11" s="22" t="s">
        <v>13</v>
      </c>
      <c r="B11" s="23"/>
      <c r="C11" s="24"/>
      <c r="D11" s="28">
        <v>2600842.2599999998</v>
      </c>
      <c r="E11" s="26">
        <v>2600842.2599999998</v>
      </c>
      <c r="F11" s="32">
        <v>0</v>
      </c>
      <c r="G11" s="20"/>
      <c r="H11" s="40">
        <v>31668880.780000001</v>
      </c>
      <c r="I11" s="26">
        <v>31668880.780000001</v>
      </c>
      <c r="J11" s="27">
        <v>0</v>
      </c>
    </row>
    <row r="12" spans="1:10" x14ac:dyDescent="0.25">
      <c r="A12" s="22" t="s">
        <v>14</v>
      </c>
      <c r="B12" s="23"/>
      <c r="C12" s="24"/>
      <c r="D12" s="33">
        <v>555628.9</v>
      </c>
      <c r="E12" s="18">
        <v>555628.9</v>
      </c>
      <c r="F12" s="32">
        <v>0</v>
      </c>
      <c r="G12" s="20"/>
      <c r="H12" s="17">
        <v>8175736.5</v>
      </c>
      <c r="I12" s="18">
        <v>8175736.5</v>
      </c>
      <c r="J12" s="41">
        <v>0</v>
      </c>
    </row>
    <row r="13" spans="1:10" x14ac:dyDescent="0.25">
      <c r="A13" s="22" t="s">
        <v>15</v>
      </c>
      <c r="B13" s="23"/>
      <c r="C13" s="24"/>
      <c r="D13" s="30">
        <v>4921368.59</v>
      </c>
      <c r="E13" s="31">
        <v>4921368.59</v>
      </c>
      <c r="F13" s="32">
        <v>0</v>
      </c>
      <c r="G13" s="20"/>
      <c r="H13" s="35">
        <v>30950477.739999998</v>
      </c>
      <c r="I13" s="31">
        <v>30950477.739999998</v>
      </c>
      <c r="J13" s="41">
        <v>0</v>
      </c>
    </row>
    <row r="14" spans="1:10" x14ac:dyDescent="0.25">
      <c r="A14" s="22" t="s">
        <v>16</v>
      </c>
      <c r="B14" s="23"/>
      <c r="C14" s="24"/>
      <c r="D14" s="33">
        <v>3527681.86</v>
      </c>
      <c r="E14" s="18">
        <v>3527681.86</v>
      </c>
      <c r="F14" s="32">
        <v>0</v>
      </c>
      <c r="G14" s="20"/>
      <c r="H14" s="17">
        <v>15767485.459999999</v>
      </c>
      <c r="I14" s="18">
        <v>15767485.459999999</v>
      </c>
      <c r="J14" s="41">
        <v>0</v>
      </c>
    </row>
    <row r="15" spans="1:10" x14ac:dyDescent="0.25">
      <c r="A15" s="22"/>
      <c r="B15" s="6" t="s">
        <v>17</v>
      </c>
      <c r="C15" s="24"/>
      <c r="D15" s="37">
        <v>11605521.609999999</v>
      </c>
      <c r="E15" s="38">
        <v>11605521.609999999</v>
      </c>
      <c r="F15" s="39">
        <v>0</v>
      </c>
      <c r="G15" s="20"/>
      <c r="H15" s="37">
        <v>86562580.479999989</v>
      </c>
      <c r="I15" s="38">
        <v>86562580.479999989</v>
      </c>
      <c r="J15" s="39">
        <v>0</v>
      </c>
    </row>
    <row r="16" spans="1:10" x14ac:dyDescent="0.25">
      <c r="A16" s="22" t="s">
        <v>18</v>
      </c>
      <c r="B16" s="23"/>
      <c r="C16" s="24"/>
      <c r="D16" s="40">
        <v>18123684.133174416</v>
      </c>
      <c r="E16" s="26">
        <v>16924515.379999999</v>
      </c>
      <c r="F16" s="32">
        <v>-1199168.7531744167</v>
      </c>
      <c r="G16" s="20"/>
      <c r="H16" s="40">
        <v>75324416.338040769</v>
      </c>
      <c r="I16" s="26">
        <v>89118305.280000001</v>
      </c>
      <c r="J16" s="27">
        <v>13793887.941959232</v>
      </c>
    </row>
    <row r="17" spans="1:10" x14ac:dyDescent="0.25">
      <c r="A17" s="22" t="s">
        <v>19</v>
      </c>
      <c r="B17" s="23"/>
      <c r="C17" s="24"/>
      <c r="D17" s="35">
        <v>1990181.6647146689</v>
      </c>
      <c r="E17" s="18">
        <v>1827614.15</v>
      </c>
      <c r="F17" s="42">
        <v>-162566.51471466897</v>
      </c>
      <c r="G17" s="20"/>
      <c r="H17" s="17">
        <v>178952700.1153039</v>
      </c>
      <c r="I17" s="18">
        <v>218767090.62000003</v>
      </c>
      <c r="J17" s="32">
        <v>39814389.504696131</v>
      </c>
    </row>
    <row r="18" spans="1:10" x14ac:dyDescent="0.25">
      <c r="A18" s="22" t="s">
        <v>20</v>
      </c>
      <c r="B18" s="23"/>
      <c r="C18" s="24"/>
      <c r="D18" s="35">
        <v>5583277.2458991772</v>
      </c>
      <c r="E18" s="18">
        <v>5721333.9199999999</v>
      </c>
      <c r="F18" s="32">
        <v>138056.67410082277</v>
      </c>
      <c r="G18" s="20"/>
      <c r="H18" s="17">
        <v>65725027.356100492</v>
      </c>
      <c r="I18" s="18">
        <v>81575392.280000001</v>
      </c>
      <c r="J18" s="32">
        <v>15850364.923899509</v>
      </c>
    </row>
    <row r="19" spans="1:10" x14ac:dyDescent="0.25">
      <c r="A19" s="22" t="s">
        <v>21</v>
      </c>
      <c r="B19" s="23"/>
      <c r="C19" s="24"/>
      <c r="D19" s="35">
        <v>365189.01709624525</v>
      </c>
      <c r="E19" s="18">
        <v>292891</v>
      </c>
      <c r="F19" s="32">
        <v>-72298.017096245254</v>
      </c>
      <c r="G19" s="20"/>
      <c r="H19" s="17">
        <v>4936449.3418458998</v>
      </c>
      <c r="I19" s="18">
        <v>5509125</v>
      </c>
      <c r="J19" s="32">
        <v>572675.65815410018</v>
      </c>
    </row>
    <row r="20" spans="1:10" x14ac:dyDescent="0.25">
      <c r="A20" s="22" t="s">
        <v>22</v>
      </c>
      <c r="B20" s="23"/>
      <c r="C20" s="24"/>
      <c r="D20" s="35">
        <v>441357.89593129349</v>
      </c>
      <c r="E20" s="18">
        <v>646035</v>
      </c>
      <c r="F20" s="32">
        <v>204677.10406870651</v>
      </c>
      <c r="G20" s="20"/>
      <c r="H20" s="17">
        <v>1920251.2683879405</v>
      </c>
      <c r="I20" s="18">
        <v>3989286.43</v>
      </c>
      <c r="J20" s="32">
        <v>2069035.1616120597</v>
      </c>
    </row>
    <row r="21" spans="1:10" x14ac:dyDescent="0.25">
      <c r="A21" s="22" t="s">
        <v>23</v>
      </c>
      <c r="B21" s="23"/>
      <c r="C21" s="24"/>
      <c r="D21" s="35">
        <v>698753.26539326517</v>
      </c>
      <c r="E21" s="18">
        <v>1961286.13</v>
      </c>
      <c r="F21" s="32">
        <v>1262532.8646067348</v>
      </c>
      <c r="G21" s="20"/>
      <c r="H21" s="17">
        <v>22526455.13501247</v>
      </c>
      <c r="I21" s="18">
        <v>26973332.779999997</v>
      </c>
      <c r="J21" s="32">
        <v>4446877.6449875273</v>
      </c>
    </row>
    <row r="22" spans="1:10" x14ac:dyDescent="0.25">
      <c r="A22" s="22" t="s">
        <v>24</v>
      </c>
      <c r="B22" s="23"/>
      <c r="C22" s="24"/>
      <c r="D22" s="35">
        <v>306298.37709442922</v>
      </c>
      <c r="E22" s="18">
        <v>850240.37</v>
      </c>
      <c r="F22" s="32">
        <v>543941.99290557078</v>
      </c>
      <c r="G22" s="20"/>
      <c r="H22" s="17">
        <v>2748168.4816897037</v>
      </c>
      <c r="I22" s="18">
        <v>5042342.38</v>
      </c>
      <c r="J22" s="32">
        <v>2294173.8983102962</v>
      </c>
    </row>
    <row r="23" spans="1:10" x14ac:dyDescent="0.25">
      <c r="A23" s="22" t="s">
        <v>25</v>
      </c>
      <c r="B23" s="23"/>
      <c r="C23" s="24"/>
      <c r="D23" s="35">
        <v>659329.79337733076</v>
      </c>
      <c r="E23" s="18">
        <v>227831.32</v>
      </c>
      <c r="F23" s="32">
        <v>-431498.47337733075</v>
      </c>
      <c r="G23" s="20"/>
      <c r="H23" s="17">
        <v>4603669.2184005184</v>
      </c>
      <c r="I23" s="18">
        <v>6174386.6700000009</v>
      </c>
      <c r="J23" s="32">
        <v>1570717.4515994824</v>
      </c>
    </row>
    <row r="24" spans="1:10" x14ac:dyDescent="0.25">
      <c r="A24" s="22" t="s">
        <v>26</v>
      </c>
      <c r="B24" s="23"/>
      <c r="C24" s="24"/>
      <c r="D24" s="43">
        <v>4202332.5033802185</v>
      </c>
      <c r="E24" s="44">
        <v>2787270.73</v>
      </c>
      <c r="F24" s="34">
        <v>-1415061.7733802185</v>
      </c>
      <c r="G24" s="11"/>
      <c r="H24" s="33">
        <v>25743975.128955357</v>
      </c>
      <c r="I24" s="18">
        <v>121732973.24999999</v>
      </c>
      <c r="J24" s="32">
        <v>95988998.121044636</v>
      </c>
    </row>
    <row r="25" spans="1:10" x14ac:dyDescent="0.25">
      <c r="A25" s="22"/>
      <c r="B25" s="6" t="s">
        <v>27</v>
      </c>
      <c r="C25" s="24"/>
      <c r="D25" s="37">
        <v>32370403.89606104</v>
      </c>
      <c r="E25" s="38">
        <v>31239017.999999996</v>
      </c>
      <c r="F25" s="39">
        <v>1131385.8960610442</v>
      </c>
      <c r="G25" s="20"/>
      <c r="H25" s="37">
        <v>382481112.38373697</v>
      </c>
      <c r="I25" s="38">
        <v>558882233.69000006</v>
      </c>
      <c r="J25" s="45">
        <v>-176401121.30626309</v>
      </c>
    </row>
    <row r="26" spans="1:10" x14ac:dyDescent="0.25">
      <c r="A26" s="22"/>
      <c r="B26" s="23"/>
      <c r="C26" s="7" t="s">
        <v>28</v>
      </c>
      <c r="D26" s="46">
        <v>113898657.50606105</v>
      </c>
      <c r="E26" s="47">
        <v>148719392.61000001</v>
      </c>
      <c r="F26" s="48">
        <v>-34820735.103938967</v>
      </c>
      <c r="G26" s="20"/>
      <c r="H26" s="46">
        <v>1400953736.8637371</v>
      </c>
      <c r="I26" s="47">
        <v>1553557951.1700001</v>
      </c>
      <c r="J26" s="48">
        <v>-152604213.30626297</v>
      </c>
    </row>
    <row r="27" spans="1:10" x14ac:dyDescent="0.25">
      <c r="A27" s="22"/>
      <c r="B27" s="23"/>
      <c r="C27" s="7"/>
      <c r="D27" s="49"/>
      <c r="E27" s="50"/>
      <c r="F27" s="51"/>
      <c r="G27" s="20"/>
      <c r="H27" s="49"/>
      <c r="I27" s="50"/>
      <c r="J27" s="51"/>
    </row>
    <row r="28" spans="1:10" x14ac:dyDescent="0.25">
      <c r="A28" s="22"/>
      <c r="B28" s="23" t="s">
        <v>29</v>
      </c>
      <c r="C28" s="7"/>
      <c r="D28" s="52">
        <v>7755492.0119886175</v>
      </c>
      <c r="E28" s="53">
        <v>6669305.0300000003</v>
      </c>
      <c r="F28" s="54">
        <v>-1086186.9819886172</v>
      </c>
      <c r="G28" s="20"/>
      <c r="H28" s="55">
        <v>55793459.323591597</v>
      </c>
      <c r="I28" s="53">
        <v>64968880.670000002</v>
      </c>
      <c r="J28" s="54">
        <v>9175421.3464084044</v>
      </c>
    </row>
    <row r="29" spans="1:10" x14ac:dyDescent="0.25">
      <c r="A29" s="22"/>
      <c r="B29" s="23"/>
      <c r="C29" s="7" t="s">
        <v>30</v>
      </c>
      <c r="D29" s="46">
        <v>106143165.49407244</v>
      </c>
      <c r="E29" s="47">
        <v>142050087.58000001</v>
      </c>
      <c r="F29" s="48">
        <v>-33734546.121950351</v>
      </c>
      <c r="G29" s="20"/>
      <c r="H29" s="46">
        <v>1345160277.5401454</v>
      </c>
      <c r="I29" s="47">
        <v>1488589070.5</v>
      </c>
      <c r="J29" s="48">
        <v>-143428792.9598546</v>
      </c>
    </row>
    <row r="30" spans="1:10" x14ac:dyDescent="0.25">
      <c r="A30" s="56" t="s">
        <v>31</v>
      </c>
      <c r="B30" s="23"/>
      <c r="C30" s="24"/>
      <c r="D30" s="57"/>
      <c r="E30" s="58"/>
      <c r="F30" s="19"/>
      <c r="G30" s="20"/>
      <c r="H30" s="17"/>
      <c r="I30" s="18"/>
      <c r="J30" s="21"/>
    </row>
    <row r="31" spans="1:10" x14ac:dyDescent="0.25">
      <c r="A31" s="14" t="s">
        <v>32</v>
      </c>
      <c r="B31" s="59"/>
      <c r="C31" s="60"/>
      <c r="D31" s="17"/>
      <c r="E31" s="18"/>
      <c r="F31" s="19"/>
      <c r="G31" s="20"/>
      <c r="H31" s="17"/>
      <c r="I31" s="18"/>
      <c r="J31" s="21"/>
    </row>
    <row r="32" spans="1:10" x14ac:dyDescent="0.25">
      <c r="A32" s="22" t="s">
        <v>33</v>
      </c>
      <c r="B32" s="23"/>
      <c r="C32" s="24"/>
      <c r="D32" s="61">
        <v>87876438.034175023</v>
      </c>
      <c r="E32" s="62">
        <v>91112904.060000002</v>
      </c>
      <c r="F32" s="63">
        <v>3236467.0258249789</v>
      </c>
      <c r="G32" s="20"/>
      <c r="H32" s="28">
        <v>786616176.560498</v>
      </c>
      <c r="I32" s="26">
        <v>785744120.83999991</v>
      </c>
      <c r="J32" s="64">
        <v>-872055.72049808502</v>
      </c>
    </row>
    <row r="33" spans="1:10" x14ac:dyDescent="0.25">
      <c r="A33" s="22" t="s">
        <v>34</v>
      </c>
      <c r="B33" s="23"/>
      <c r="C33" s="24"/>
      <c r="D33" s="65">
        <v>16125803.552855004</v>
      </c>
      <c r="E33" s="44">
        <v>16736358.199999999</v>
      </c>
      <c r="F33" s="34">
        <v>610553.64714499563</v>
      </c>
      <c r="G33" s="11"/>
      <c r="H33" s="33">
        <v>105941745.7413505</v>
      </c>
      <c r="I33" s="18">
        <v>126789993.66</v>
      </c>
      <c r="J33" s="66">
        <v>20848247.918649495</v>
      </c>
    </row>
    <row r="34" spans="1:10" x14ac:dyDescent="0.25">
      <c r="A34" s="22" t="s">
        <v>35</v>
      </c>
      <c r="B34" s="23"/>
      <c r="C34" s="24"/>
      <c r="D34" s="65">
        <v>8280608.195568677</v>
      </c>
      <c r="E34" s="44">
        <v>7570232.6500000004</v>
      </c>
      <c r="F34" s="34">
        <v>-710375.54556867667</v>
      </c>
      <c r="G34" s="11"/>
      <c r="H34" s="33">
        <v>61011203.168138921</v>
      </c>
      <c r="I34" s="18">
        <v>69047671.680000007</v>
      </c>
      <c r="J34" s="66">
        <v>8036468.5118610859</v>
      </c>
    </row>
    <row r="35" spans="1:10" x14ac:dyDescent="0.25">
      <c r="A35" s="22" t="s">
        <v>36</v>
      </c>
      <c r="B35" s="23"/>
      <c r="C35" s="24"/>
      <c r="D35" s="65">
        <v>2972616.7707875245</v>
      </c>
      <c r="E35" s="44">
        <v>3793650.83</v>
      </c>
      <c r="F35" s="34">
        <v>821034.05921247555</v>
      </c>
      <c r="G35" s="11"/>
      <c r="H35" s="33">
        <v>36301084.79678756</v>
      </c>
      <c r="I35" s="18">
        <v>33518531.799999997</v>
      </c>
      <c r="J35" s="66">
        <v>-2782553.996787563</v>
      </c>
    </row>
    <row r="36" spans="1:10" x14ac:dyDescent="0.25">
      <c r="A36" s="22" t="s">
        <v>37</v>
      </c>
      <c r="B36" s="23"/>
      <c r="C36" s="24"/>
      <c r="D36" s="65">
        <v>2660729.4485613392</v>
      </c>
      <c r="E36" s="44">
        <v>2536300.3199999998</v>
      </c>
      <c r="F36" s="34">
        <v>-124428.12856133934</v>
      </c>
      <c r="G36" s="11"/>
      <c r="H36" s="33">
        <v>33348063.018368103</v>
      </c>
      <c r="I36" s="18">
        <v>30338067.100000001</v>
      </c>
      <c r="J36" s="66">
        <v>-3009996.9183681011</v>
      </c>
    </row>
    <row r="37" spans="1:10" x14ac:dyDescent="0.25">
      <c r="A37" s="22" t="s">
        <v>38</v>
      </c>
      <c r="B37" s="67"/>
      <c r="C37" s="67"/>
      <c r="D37" s="68">
        <v>0</v>
      </c>
      <c r="E37" s="69">
        <v>0</v>
      </c>
      <c r="F37" s="70">
        <v>0</v>
      </c>
      <c r="H37" s="68">
        <v>0</v>
      </c>
      <c r="I37" s="69">
        <v>0</v>
      </c>
      <c r="J37" s="32">
        <v>0</v>
      </c>
    </row>
    <row r="38" spans="1:10" x14ac:dyDescent="0.25">
      <c r="A38" s="22"/>
      <c r="B38" s="6" t="s">
        <v>39</v>
      </c>
      <c r="C38" s="24"/>
      <c r="D38" s="37">
        <v>117916196.00194757</v>
      </c>
      <c r="E38" s="38">
        <v>121749446.06</v>
      </c>
      <c r="F38" s="39">
        <v>-3833250.0580524355</v>
      </c>
      <c r="G38" s="20"/>
      <c r="H38" s="37">
        <v>1023218273.285143</v>
      </c>
      <c r="I38" s="38">
        <v>1045438384.0799998</v>
      </c>
      <c r="J38" s="71">
        <v>-22220110.794856787</v>
      </c>
    </row>
    <row r="39" spans="1:10" x14ac:dyDescent="0.25">
      <c r="A39" s="22" t="s">
        <v>40</v>
      </c>
      <c r="B39" s="23"/>
      <c r="C39" s="24"/>
      <c r="D39" s="61">
        <v>143502.93701459689</v>
      </c>
      <c r="E39" s="72">
        <v>95901.02</v>
      </c>
      <c r="F39" s="63">
        <v>-47601.917014596882</v>
      </c>
      <c r="G39" s="20"/>
      <c r="H39" s="40">
        <v>916919.18097972206</v>
      </c>
      <c r="I39" s="26">
        <v>1378204.17</v>
      </c>
      <c r="J39" s="64">
        <v>461285.98902027786</v>
      </c>
    </row>
    <row r="40" spans="1:10" x14ac:dyDescent="0.25">
      <c r="A40" s="22" t="s">
        <v>41</v>
      </c>
      <c r="B40" s="23"/>
      <c r="C40" s="24"/>
      <c r="D40" s="17">
        <v>128490.31954426684</v>
      </c>
      <c r="E40" s="18">
        <v>48386.2</v>
      </c>
      <c r="F40" s="32">
        <v>-80104.11954426684</v>
      </c>
      <c r="G40" s="20"/>
      <c r="H40" s="17">
        <v>1109851.2763957626</v>
      </c>
      <c r="I40" s="18">
        <v>811188.4</v>
      </c>
      <c r="J40" s="66">
        <v>-298662.87639576255</v>
      </c>
    </row>
    <row r="41" spans="1:10" x14ac:dyDescent="0.25">
      <c r="A41" s="22" t="s">
        <v>42</v>
      </c>
      <c r="B41" s="23"/>
      <c r="C41" s="24"/>
      <c r="D41" s="17">
        <v>279152.99465967779</v>
      </c>
      <c r="E41" s="18">
        <v>483463.18</v>
      </c>
      <c r="F41" s="32">
        <v>204311.1853403222</v>
      </c>
      <c r="G41" s="20"/>
      <c r="H41" s="17">
        <v>2857643.4586402448</v>
      </c>
      <c r="I41" s="18">
        <v>3400054.44</v>
      </c>
      <c r="J41" s="66">
        <v>542410.98135975515</v>
      </c>
    </row>
    <row r="42" spans="1:10" x14ac:dyDescent="0.25">
      <c r="A42" s="22" t="s">
        <v>43</v>
      </c>
      <c r="B42" s="23"/>
      <c r="C42" s="24"/>
      <c r="D42" s="17">
        <v>152729.31307944222</v>
      </c>
      <c r="E42" s="18">
        <v>70507.66</v>
      </c>
      <c r="F42" s="32">
        <v>-82221.653079442214</v>
      </c>
      <c r="G42" s="20"/>
      <c r="H42" s="17">
        <v>333629.00889070868</v>
      </c>
      <c r="I42" s="18">
        <v>438147.43999999994</v>
      </c>
      <c r="J42" s="66">
        <v>104518.43110929127</v>
      </c>
    </row>
    <row r="43" spans="1:10" x14ac:dyDescent="0.25">
      <c r="A43" s="22" t="s">
        <v>44</v>
      </c>
      <c r="B43" s="23"/>
      <c r="C43" s="24"/>
      <c r="D43" s="17">
        <v>16734.485488648206</v>
      </c>
      <c r="E43" s="18">
        <v>59024.78</v>
      </c>
      <c r="F43" s="32">
        <v>42290.294511351793</v>
      </c>
      <c r="G43" s="20"/>
      <c r="H43" s="17">
        <v>427174.96646889998</v>
      </c>
      <c r="I43" s="18">
        <v>577400.67000000004</v>
      </c>
      <c r="J43" s="66">
        <v>150225.70353110007</v>
      </c>
    </row>
    <row r="44" spans="1:10" x14ac:dyDescent="0.25">
      <c r="A44" s="22" t="s">
        <v>45</v>
      </c>
      <c r="B44" s="23"/>
      <c r="C44" s="24"/>
      <c r="D44" s="35">
        <v>0</v>
      </c>
      <c r="E44" s="31">
        <v>0</v>
      </c>
      <c r="F44" s="32">
        <v>0</v>
      </c>
      <c r="G44" s="73"/>
      <c r="H44" s="35">
        <v>0</v>
      </c>
      <c r="I44" s="31">
        <v>0</v>
      </c>
      <c r="J44" s="66">
        <v>0</v>
      </c>
    </row>
    <row r="45" spans="1:10" x14ac:dyDescent="0.25">
      <c r="A45" s="22" t="s">
        <v>46</v>
      </c>
      <c r="B45" s="23"/>
      <c r="C45" s="24"/>
      <c r="D45" s="17">
        <v>7580.0607496941202</v>
      </c>
      <c r="E45" s="18">
        <v>8644.84</v>
      </c>
      <c r="F45" s="32">
        <v>1064.7792503058799</v>
      </c>
      <c r="G45" s="20"/>
      <c r="H45" s="17">
        <v>188444.28081619096</v>
      </c>
      <c r="I45" s="18">
        <v>224817.73999999996</v>
      </c>
      <c r="J45" s="66">
        <v>36373.459183808998</v>
      </c>
    </row>
    <row r="46" spans="1:10" x14ac:dyDescent="0.25">
      <c r="A46" s="22" t="s">
        <v>47</v>
      </c>
      <c r="B46" s="23"/>
      <c r="C46" s="24"/>
      <c r="D46" s="17">
        <v>24476.998841331042</v>
      </c>
      <c r="E46" s="74">
        <v>10052.93</v>
      </c>
      <c r="F46" s="32">
        <v>-14424.068841331042</v>
      </c>
      <c r="G46" s="20"/>
      <c r="H46" s="17">
        <v>72557.018595300644</v>
      </c>
      <c r="I46" s="18">
        <v>138549.04999999999</v>
      </c>
      <c r="J46" s="66">
        <v>65992.031404699344</v>
      </c>
    </row>
    <row r="47" spans="1:10" x14ac:dyDescent="0.25">
      <c r="A47" s="22"/>
      <c r="B47" s="6" t="s">
        <v>48</v>
      </c>
      <c r="C47" s="24"/>
      <c r="D47" s="37">
        <v>752667.10937765706</v>
      </c>
      <c r="E47" s="75">
        <v>775981.6100000001</v>
      </c>
      <c r="F47" s="39">
        <v>-23314.500622343039</v>
      </c>
      <c r="G47" s="20"/>
      <c r="H47" s="37">
        <v>5906218.1907868301</v>
      </c>
      <c r="I47" s="75">
        <v>6968361.9099999992</v>
      </c>
      <c r="J47" s="71">
        <v>-1062142.7192131691</v>
      </c>
    </row>
    <row r="48" spans="1:10" x14ac:dyDescent="0.25">
      <c r="A48" s="22"/>
      <c r="B48" s="23"/>
      <c r="C48" s="7" t="s">
        <v>49</v>
      </c>
      <c r="D48" s="76">
        <v>118668862.11132522</v>
      </c>
      <c r="E48" s="75">
        <v>122525426.67</v>
      </c>
      <c r="F48" s="39">
        <v>-3856564.5586747825</v>
      </c>
      <c r="G48" s="20"/>
      <c r="H48" s="76">
        <v>1029124492.4759299</v>
      </c>
      <c r="I48" s="75">
        <v>1052406745.9899998</v>
      </c>
      <c r="J48" s="71">
        <v>-23282253.514069915</v>
      </c>
    </row>
    <row r="49" spans="1:10" x14ac:dyDescent="0.25">
      <c r="A49" s="22" t="s">
        <v>50</v>
      </c>
      <c r="B49" s="23"/>
      <c r="C49" s="24"/>
      <c r="D49" s="77">
        <v>0</v>
      </c>
      <c r="E49" s="78">
        <v>0</v>
      </c>
      <c r="F49" s="79">
        <v>0</v>
      </c>
      <c r="G49" s="20"/>
      <c r="H49" s="40">
        <v>219009.84597043792</v>
      </c>
      <c r="I49" s="26">
        <v>34800</v>
      </c>
      <c r="J49" s="64">
        <v>184209.84597043792</v>
      </c>
    </row>
    <row r="50" spans="1:10" x14ac:dyDescent="0.25">
      <c r="A50" s="22" t="s">
        <v>51</v>
      </c>
      <c r="B50" s="23"/>
      <c r="C50" s="24"/>
      <c r="D50" s="80">
        <v>46332.617125466277</v>
      </c>
      <c r="E50" s="81">
        <v>3176.91</v>
      </c>
      <c r="F50" s="34">
        <v>-43155.707125466273</v>
      </c>
      <c r="G50" s="20"/>
      <c r="H50" s="35">
        <v>322924.65558271046</v>
      </c>
      <c r="I50" s="18">
        <v>106757.41</v>
      </c>
      <c r="J50" s="66">
        <v>216167.24558271046</v>
      </c>
    </row>
    <row r="51" spans="1:10" x14ac:dyDescent="0.25">
      <c r="A51" s="22" t="s">
        <v>52</v>
      </c>
      <c r="B51" s="23"/>
      <c r="C51" s="24"/>
      <c r="D51" s="80">
        <v>0</v>
      </c>
      <c r="E51" s="81">
        <v>0</v>
      </c>
      <c r="F51" s="34">
        <v>0</v>
      </c>
      <c r="G51" s="20"/>
      <c r="H51" s="35">
        <v>0</v>
      </c>
      <c r="I51" s="18">
        <v>85326500</v>
      </c>
      <c r="J51" s="66">
        <v>-85326500</v>
      </c>
    </row>
    <row r="52" spans="1:10" x14ac:dyDescent="0.25">
      <c r="A52" s="22" t="s">
        <v>53</v>
      </c>
      <c r="B52" s="23"/>
      <c r="C52" s="24"/>
      <c r="D52" s="80">
        <v>2614800.4446329931</v>
      </c>
      <c r="E52" s="81">
        <v>6975264.4500000002</v>
      </c>
      <c r="F52" s="32">
        <v>4360464.0053670071</v>
      </c>
      <c r="G52" s="20"/>
      <c r="H52" s="35">
        <v>62182170.915082827</v>
      </c>
      <c r="I52" s="18">
        <v>68295014.310000002</v>
      </c>
      <c r="J52" s="66">
        <v>-6112843.3949171752</v>
      </c>
    </row>
    <row r="53" spans="1:10" x14ac:dyDescent="0.25">
      <c r="A53" s="22" t="s">
        <v>54</v>
      </c>
      <c r="B53" s="23"/>
      <c r="C53" s="24"/>
      <c r="D53" s="80">
        <v>64280.950273440707</v>
      </c>
      <c r="E53" s="81">
        <v>22763.41</v>
      </c>
      <c r="F53" s="32">
        <v>-41517.540273440711</v>
      </c>
      <c r="G53" s="20"/>
      <c r="H53" s="35">
        <v>11106969.871994384</v>
      </c>
      <c r="I53" s="18">
        <v>58236.41</v>
      </c>
      <c r="J53" s="66">
        <v>11048733.461994383</v>
      </c>
    </row>
    <row r="54" spans="1:10" x14ac:dyDescent="0.25">
      <c r="A54" s="22" t="s">
        <v>55</v>
      </c>
      <c r="B54" s="23"/>
      <c r="C54" s="24"/>
      <c r="D54" s="80">
        <v>2978268.6453711754</v>
      </c>
      <c r="E54" s="81">
        <v>916899.22</v>
      </c>
      <c r="F54" s="32">
        <v>-2061369.4253711754</v>
      </c>
      <c r="G54" s="20"/>
      <c r="H54" s="35">
        <v>25926665.164673898</v>
      </c>
      <c r="I54" s="18">
        <v>3979385.7</v>
      </c>
      <c r="J54" s="66">
        <v>21947279.464673899</v>
      </c>
    </row>
    <row r="55" spans="1:10" x14ac:dyDescent="0.25">
      <c r="A55" s="22" t="s">
        <v>56</v>
      </c>
      <c r="B55" s="23"/>
      <c r="C55" s="24"/>
      <c r="D55" s="80">
        <v>2846965.2232922632</v>
      </c>
      <c r="E55" s="81">
        <v>4944528.28</v>
      </c>
      <c r="F55" s="32">
        <v>2097563.056707737</v>
      </c>
      <c r="G55" s="20"/>
      <c r="H55" s="35">
        <v>11484715.787101099</v>
      </c>
      <c r="I55" s="18">
        <v>8866763.4800000004</v>
      </c>
      <c r="J55" s="66">
        <v>2617952.3071010988</v>
      </c>
    </row>
    <row r="56" spans="1:10" x14ac:dyDescent="0.25">
      <c r="A56" s="22" t="s">
        <v>57</v>
      </c>
      <c r="B56" s="23"/>
      <c r="C56" s="24"/>
      <c r="D56" s="80">
        <v>0</v>
      </c>
      <c r="E56" s="81">
        <v>432166</v>
      </c>
      <c r="F56" s="32">
        <v>432166</v>
      </c>
      <c r="G56" s="20"/>
      <c r="H56" s="35">
        <v>6456346.6265003216</v>
      </c>
      <c r="I56" s="18">
        <v>1692508.98</v>
      </c>
      <c r="J56" s="66">
        <v>4763837.6465003211</v>
      </c>
    </row>
    <row r="57" spans="1:10" x14ac:dyDescent="0.25">
      <c r="A57" s="22" t="s">
        <v>58</v>
      </c>
      <c r="B57" s="23"/>
      <c r="C57" s="24"/>
      <c r="D57" s="80">
        <v>1519222.42472454</v>
      </c>
      <c r="E57" s="81">
        <v>410738.72</v>
      </c>
      <c r="F57" s="32">
        <v>-1108483.70472454</v>
      </c>
      <c r="G57" s="20"/>
      <c r="H57" s="35">
        <v>17258013.927945834</v>
      </c>
      <c r="I57" s="18">
        <v>9477005.6600000001</v>
      </c>
      <c r="J57" s="66">
        <v>7781008.2679458335</v>
      </c>
    </row>
    <row r="58" spans="1:10" x14ac:dyDescent="0.25">
      <c r="A58" s="22" t="s">
        <v>59</v>
      </c>
      <c r="B58" s="23"/>
      <c r="C58" s="24"/>
      <c r="D58" s="80">
        <v>65889.420852142939</v>
      </c>
      <c r="E58" s="81">
        <v>-130092.15</v>
      </c>
      <c r="F58" s="32">
        <v>-195981.57085214293</v>
      </c>
      <c r="G58" s="20"/>
      <c r="H58" s="35">
        <v>650367.01930614794</v>
      </c>
      <c r="I58" s="18">
        <v>1472826.2</v>
      </c>
      <c r="J58" s="66">
        <v>-822459.18069385202</v>
      </c>
    </row>
    <row r="59" spans="1:10" x14ac:dyDescent="0.25">
      <c r="A59" s="22" t="s">
        <v>60</v>
      </c>
      <c r="B59" s="23"/>
      <c r="C59" s="24"/>
      <c r="D59" s="80">
        <v>0</v>
      </c>
      <c r="E59" s="81">
        <v>0</v>
      </c>
      <c r="F59" s="32">
        <v>0</v>
      </c>
      <c r="G59" s="20"/>
      <c r="H59" s="30">
        <v>0</v>
      </c>
      <c r="I59" s="82">
        <v>0</v>
      </c>
      <c r="J59" s="66">
        <v>0</v>
      </c>
    </row>
    <row r="60" spans="1:10" x14ac:dyDescent="0.25">
      <c r="A60" s="22"/>
      <c r="B60" s="6" t="s">
        <v>61</v>
      </c>
      <c r="C60" s="24"/>
      <c r="D60" s="83">
        <v>10135759.726272022</v>
      </c>
      <c r="E60" s="84">
        <v>13575445.84</v>
      </c>
      <c r="F60" s="39">
        <v>-3439685.1137279775</v>
      </c>
      <c r="G60" s="20"/>
      <c r="H60" s="83">
        <v>135607183.81415766</v>
      </c>
      <c r="I60" s="84">
        <v>179309799.14999995</v>
      </c>
      <c r="J60" s="71">
        <v>-43702614.335842282</v>
      </c>
    </row>
    <row r="61" spans="1:10" x14ac:dyDescent="0.25">
      <c r="A61" s="22"/>
      <c r="B61" s="23"/>
      <c r="C61" s="7" t="s">
        <v>62</v>
      </c>
      <c r="D61" s="85">
        <v>128804621.83759724</v>
      </c>
      <c r="E61" s="86">
        <v>136100872.50999999</v>
      </c>
      <c r="F61" s="48">
        <v>-7296249.6724027544</v>
      </c>
      <c r="G61" s="20"/>
      <c r="H61" s="85">
        <v>1164731676.2900875</v>
      </c>
      <c r="I61" s="86">
        <v>1231716545.1399996</v>
      </c>
      <c r="J61" s="87">
        <v>-66984868.849912167</v>
      </c>
    </row>
    <row r="62" spans="1:10" x14ac:dyDescent="0.25">
      <c r="A62" s="56" t="s">
        <v>63</v>
      </c>
      <c r="B62" s="23"/>
      <c r="C62" s="7"/>
      <c r="D62" s="17"/>
      <c r="E62" s="58"/>
      <c r="F62" s="19"/>
      <c r="G62" s="20"/>
      <c r="H62" s="17"/>
      <c r="I62" s="58"/>
      <c r="J62" s="19"/>
    </row>
    <row r="63" spans="1:10" x14ac:dyDescent="0.25">
      <c r="A63" s="22" t="s">
        <v>33</v>
      </c>
      <c r="B63" s="23"/>
      <c r="C63" s="7"/>
      <c r="D63" s="40">
        <v>180524.5</v>
      </c>
      <c r="E63" s="26">
        <v>180524.5</v>
      </c>
      <c r="F63" s="27">
        <v>0</v>
      </c>
      <c r="G63" s="20"/>
      <c r="H63" s="40">
        <v>942856.52</v>
      </c>
      <c r="I63" s="26">
        <v>942856.52</v>
      </c>
      <c r="J63" s="27">
        <v>0</v>
      </c>
    </row>
    <row r="64" spans="1:10" x14ac:dyDescent="0.25">
      <c r="A64" s="22" t="s">
        <v>34</v>
      </c>
      <c r="B64" s="23"/>
      <c r="C64" s="7"/>
      <c r="D64" s="35">
        <v>1244877.69</v>
      </c>
      <c r="E64" s="31">
        <v>1244877.69</v>
      </c>
      <c r="F64" s="32">
        <v>0</v>
      </c>
      <c r="G64" s="20"/>
      <c r="H64" s="88">
        <v>14845274.800000001</v>
      </c>
      <c r="I64" s="18">
        <v>14845274.300000001</v>
      </c>
      <c r="J64" s="32">
        <v>0</v>
      </c>
    </row>
    <row r="65" spans="1:10" x14ac:dyDescent="0.25">
      <c r="A65" s="22" t="s">
        <v>64</v>
      </c>
      <c r="B65" s="23"/>
      <c r="C65" s="7"/>
      <c r="D65" s="35">
        <v>684639.08</v>
      </c>
      <c r="E65" s="31">
        <v>684639.08</v>
      </c>
      <c r="F65" s="32">
        <v>0</v>
      </c>
      <c r="G65" s="20"/>
      <c r="H65" s="88">
        <v>7710779.0199999996</v>
      </c>
      <c r="I65" s="18">
        <v>7710779.0199999996</v>
      </c>
      <c r="J65" s="32">
        <v>0</v>
      </c>
    </row>
    <row r="66" spans="1:10" x14ac:dyDescent="0.25">
      <c r="A66" s="22" t="s">
        <v>36</v>
      </c>
      <c r="B66" s="23"/>
      <c r="C66" s="7"/>
      <c r="D66" s="35">
        <v>434259.66</v>
      </c>
      <c r="E66" s="31">
        <v>434259.66</v>
      </c>
      <c r="F66" s="32">
        <v>0</v>
      </c>
      <c r="G66" s="20"/>
      <c r="H66" s="88">
        <v>2479339.5100000002</v>
      </c>
      <c r="I66" s="18">
        <v>2479339.5100000002</v>
      </c>
      <c r="J66" s="32">
        <v>0</v>
      </c>
    </row>
    <row r="67" spans="1:10" x14ac:dyDescent="0.25">
      <c r="A67" s="22" t="s">
        <v>65</v>
      </c>
      <c r="B67" s="23"/>
      <c r="C67" s="7"/>
      <c r="D67" s="35">
        <v>0</v>
      </c>
      <c r="E67" s="31">
        <v>0</v>
      </c>
      <c r="F67" s="32">
        <v>0</v>
      </c>
      <c r="G67" s="20"/>
      <c r="H67" s="89">
        <v>0</v>
      </c>
      <c r="I67" s="82">
        <v>0</v>
      </c>
      <c r="J67" s="32">
        <v>0</v>
      </c>
    </row>
    <row r="68" spans="1:10" x14ac:dyDescent="0.25">
      <c r="A68" s="22" t="s">
        <v>37</v>
      </c>
      <c r="B68" s="23"/>
      <c r="C68" s="7"/>
      <c r="D68" s="35">
        <v>370565.25</v>
      </c>
      <c r="E68" s="31">
        <v>370565.25</v>
      </c>
      <c r="F68" s="32">
        <v>0</v>
      </c>
      <c r="G68" s="20"/>
      <c r="H68" s="88">
        <v>4302957.8</v>
      </c>
      <c r="I68" s="18">
        <v>4302957.8</v>
      </c>
      <c r="J68" s="32">
        <v>0</v>
      </c>
    </row>
    <row r="69" spans="1:10" x14ac:dyDescent="0.25">
      <c r="A69" s="22"/>
      <c r="B69" s="6" t="s">
        <v>66</v>
      </c>
      <c r="C69" s="7"/>
      <c r="D69" s="90">
        <v>2914866.18</v>
      </c>
      <c r="E69" s="91">
        <v>2914866.18</v>
      </c>
      <c r="F69" s="92">
        <v>0</v>
      </c>
      <c r="G69" s="20"/>
      <c r="H69" s="90">
        <v>30281207.650000002</v>
      </c>
      <c r="I69" s="91">
        <v>30281206.150000002</v>
      </c>
      <c r="J69" s="93">
        <v>0</v>
      </c>
    </row>
    <row r="70" spans="1:10" x14ac:dyDescent="0.25">
      <c r="A70" s="22" t="s">
        <v>53</v>
      </c>
      <c r="B70" s="6"/>
      <c r="C70" s="7"/>
      <c r="D70" s="40">
        <v>4921368.59</v>
      </c>
      <c r="E70" s="26">
        <v>4921368.59</v>
      </c>
      <c r="F70" s="27">
        <v>0</v>
      </c>
      <c r="G70" s="20"/>
      <c r="H70" s="40">
        <v>30950477.739999998</v>
      </c>
      <c r="I70" s="26">
        <v>30950477.739999998</v>
      </c>
      <c r="J70" s="27">
        <v>0</v>
      </c>
    </row>
    <row r="71" spans="1:10" x14ac:dyDescent="0.25">
      <c r="A71" s="22" t="s">
        <v>67</v>
      </c>
      <c r="B71" s="23"/>
      <c r="C71" s="7"/>
      <c r="D71" s="35">
        <v>1800826.36</v>
      </c>
      <c r="E71" s="31">
        <v>1800826.36</v>
      </c>
      <c r="F71" s="32">
        <v>0</v>
      </c>
      <c r="G71" s="20"/>
      <c r="H71" s="88">
        <v>24385401.890000001</v>
      </c>
      <c r="I71" s="18">
        <v>24385401.890000001</v>
      </c>
      <c r="J71" s="66">
        <v>0</v>
      </c>
    </row>
    <row r="72" spans="1:10" x14ac:dyDescent="0.25">
      <c r="A72" s="22" t="s">
        <v>68</v>
      </c>
      <c r="B72" s="23"/>
      <c r="C72" s="7"/>
      <c r="D72" s="35">
        <v>0</v>
      </c>
      <c r="E72" s="31">
        <v>0</v>
      </c>
      <c r="F72" s="32">
        <v>0</v>
      </c>
      <c r="G72" s="20"/>
      <c r="H72" s="35">
        <v>14487.57</v>
      </c>
      <c r="I72" s="31">
        <v>14487.57</v>
      </c>
      <c r="J72" s="66">
        <v>0</v>
      </c>
    </row>
    <row r="73" spans="1:10" x14ac:dyDescent="0.25">
      <c r="A73" s="22"/>
      <c r="B73" s="6" t="s">
        <v>69</v>
      </c>
      <c r="C73" s="24"/>
      <c r="D73" s="90">
        <v>6722194.9500000002</v>
      </c>
      <c r="E73" s="91">
        <v>6722194.9500000002</v>
      </c>
      <c r="F73" s="92">
        <v>0</v>
      </c>
      <c r="G73" s="20"/>
      <c r="H73" s="90">
        <v>55350367.199999996</v>
      </c>
      <c r="I73" s="91">
        <v>55350368.199999996</v>
      </c>
      <c r="J73" s="93">
        <v>0</v>
      </c>
    </row>
    <row r="74" spans="1:10" x14ac:dyDescent="0.25">
      <c r="A74" s="22"/>
      <c r="B74" s="6"/>
      <c r="C74" s="7" t="s">
        <v>70</v>
      </c>
      <c r="D74" s="46">
        <v>9637062.1300000008</v>
      </c>
      <c r="E74" s="47">
        <v>9637062.1300000008</v>
      </c>
      <c r="F74" s="48">
        <v>0</v>
      </c>
      <c r="G74" s="20"/>
      <c r="H74" s="46">
        <v>85631575.849999994</v>
      </c>
      <c r="I74" s="47">
        <v>85631574.349999994</v>
      </c>
      <c r="J74" s="48">
        <v>0</v>
      </c>
    </row>
    <row r="75" spans="1:10" x14ac:dyDescent="0.25">
      <c r="A75" s="22"/>
      <c r="B75" s="23"/>
      <c r="C75" s="24"/>
      <c r="D75" s="17"/>
      <c r="E75" s="18"/>
      <c r="F75" s="19"/>
      <c r="G75" s="20"/>
      <c r="H75" s="17"/>
      <c r="I75" s="18"/>
      <c r="J75" s="21"/>
    </row>
    <row r="76" spans="1:10" x14ac:dyDescent="0.25">
      <c r="A76" s="22"/>
      <c r="B76" s="23"/>
      <c r="C76" s="7" t="s">
        <v>71</v>
      </c>
      <c r="D76" s="46">
        <v>138441683.96759725</v>
      </c>
      <c r="E76" s="47">
        <v>145737934.63999999</v>
      </c>
      <c r="F76" s="48">
        <v>-7296249.6724027544</v>
      </c>
      <c r="G76" s="20"/>
      <c r="H76" s="95">
        <v>1250363252.1400874</v>
      </c>
      <c r="I76" s="96">
        <v>1317348119.4899995</v>
      </c>
      <c r="J76" s="87">
        <v>-66984868.849912167</v>
      </c>
    </row>
    <row r="77" spans="1:10" ht="15.75" thickBot="1" x14ac:dyDescent="0.3">
      <c r="A77" s="97" t="s">
        <v>77</v>
      </c>
      <c r="B77" s="98"/>
      <c r="C77" s="99"/>
      <c r="D77" s="100"/>
      <c r="E77" s="101">
        <v>-3687846.0599999726</v>
      </c>
      <c r="F77" s="102"/>
      <c r="G77" s="103"/>
      <c r="H77" s="100"/>
      <c r="I77" s="100">
        <v>171240951.01000047</v>
      </c>
      <c r="J77" s="104"/>
    </row>
  </sheetData>
  <mergeCells count="5">
    <mergeCell ref="A1:J1"/>
    <mergeCell ref="A2:J2"/>
    <mergeCell ref="A3:J3"/>
    <mergeCell ref="D4:F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Jesus Casillas</cp:lastModifiedBy>
  <dcterms:created xsi:type="dcterms:W3CDTF">2012-10-11T19:12:48Z</dcterms:created>
  <dcterms:modified xsi:type="dcterms:W3CDTF">2012-10-12T18:04:24Z</dcterms:modified>
</cp:coreProperties>
</file>