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 activeTab="2"/>
  </bookViews>
  <sheets>
    <sheet name="Julio" sheetId="1" r:id="rId1"/>
    <sheet name="Agosto" sheetId="2" r:id="rId2"/>
    <sheet name="Septiembr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Agosto!$A$1:$N$78</definedName>
    <definedName name="_xlnm.Print_Area" localSheetId="0">Julio!$A$1:$N$79</definedName>
    <definedName name="_xlnm.Print_Area" localSheetId="2">Septiembre!$A$1:$N$79</definedName>
  </definedNames>
  <calcPr calcId="144525" calcOnSave="0"/>
</workbook>
</file>

<file path=xl/calcChain.xml><?xml version="1.0" encoding="utf-8"?>
<calcChain xmlns="http://schemas.openxmlformats.org/spreadsheetml/2006/main">
  <c r="N73" i="3" l="1"/>
  <c r="L73" i="3"/>
  <c r="E73" i="3"/>
  <c r="D73" i="3" s="1"/>
  <c r="L72" i="3"/>
  <c r="N72" i="3" s="1"/>
  <c r="E72" i="3"/>
  <c r="I72" i="3" s="1"/>
  <c r="D72" i="3"/>
  <c r="F72" i="3" s="1"/>
  <c r="L71" i="3"/>
  <c r="N71" i="3" s="1"/>
  <c r="N74" i="3" s="1"/>
  <c r="F71" i="3"/>
  <c r="E71" i="3"/>
  <c r="E74" i="3" s="1"/>
  <c r="D71" i="3"/>
  <c r="D74" i="3" s="1"/>
  <c r="L69" i="3"/>
  <c r="N69" i="3" s="1"/>
  <c r="E69" i="3"/>
  <c r="I69" i="3" s="1"/>
  <c r="D69" i="3"/>
  <c r="F69" i="3" s="1"/>
  <c r="L68" i="3"/>
  <c r="N68" i="3" s="1"/>
  <c r="E68" i="3"/>
  <c r="I68" i="3" s="1"/>
  <c r="L67" i="3"/>
  <c r="N67" i="3" s="1"/>
  <c r="E67" i="3"/>
  <c r="D67" i="3" s="1"/>
  <c r="L66" i="3"/>
  <c r="N66" i="3" s="1"/>
  <c r="E66" i="3"/>
  <c r="I66" i="3" s="1"/>
  <c r="D66" i="3"/>
  <c r="F66" i="3" s="1"/>
  <c r="N65" i="3"/>
  <c r="L65" i="3"/>
  <c r="E65" i="3"/>
  <c r="I65" i="3" s="1"/>
  <c r="N64" i="3"/>
  <c r="L64" i="3"/>
  <c r="L70" i="3" s="1"/>
  <c r="N70" i="3" s="1"/>
  <c r="E64" i="3"/>
  <c r="D64" i="3" s="1"/>
  <c r="L60" i="3"/>
  <c r="F60" i="3"/>
  <c r="E60" i="3"/>
  <c r="N59" i="3"/>
  <c r="L59" i="3"/>
  <c r="H59" i="3"/>
  <c r="E59" i="3"/>
  <c r="F59" i="3" s="1"/>
  <c r="F58" i="3"/>
  <c r="E58" i="3"/>
  <c r="I58" i="3" s="1"/>
  <c r="D58" i="3"/>
  <c r="L58" i="3" s="1"/>
  <c r="N58" i="3" s="1"/>
  <c r="N57" i="3"/>
  <c r="L57" i="3"/>
  <c r="H57" i="3"/>
  <c r="E57" i="3"/>
  <c r="F57" i="3" s="1"/>
  <c r="N56" i="3"/>
  <c r="L56" i="3"/>
  <c r="H56" i="3"/>
  <c r="F56" i="3"/>
  <c r="E56" i="3"/>
  <c r="I56" i="3" s="1"/>
  <c r="J56" i="3" s="1"/>
  <c r="L55" i="3"/>
  <c r="N55" i="3" s="1"/>
  <c r="H55" i="3"/>
  <c r="E55" i="3"/>
  <c r="F55" i="3" s="1"/>
  <c r="E54" i="3"/>
  <c r="F54" i="3" s="1"/>
  <c r="D54" i="3"/>
  <c r="L54" i="3" s="1"/>
  <c r="N54" i="3" s="1"/>
  <c r="L53" i="3"/>
  <c r="N53" i="3" s="1"/>
  <c r="H53" i="3"/>
  <c r="E53" i="3"/>
  <c r="F53" i="3" s="1"/>
  <c r="N52" i="3"/>
  <c r="H52" i="3"/>
  <c r="E52" i="3"/>
  <c r="F52" i="3" s="1"/>
  <c r="N51" i="3"/>
  <c r="L51" i="3"/>
  <c r="H51" i="3"/>
  <c r="E51" i="3"/>
  <c r="F51" i="3" s="1"/>
  <c r="N50" i="3"/>
  <c r="L50" i="3"/>
  <c r="H50" i="3"/>
  <c r="F50" i="3"/>
  <c r="E50" i="3"/>
  <c r="E61" i="3" s="1"/>
  <c r="E47" i="3"/>
  <c r="I47" i="3" s="1"/>
  <c r="D47" i="3"/>
  <c r="L47" i="3" s="1"/>
  <c r="N47" i="3" s="1"/>
  <c r="E46" i="3"/>
  <c r="I46" i="3" s="1"/>
  <c r="D46" i="3"/>
  <c r="F46" i="3" s="1"/>
  <c r="N45" i="3"/>
  <c r="E45" i="3"/>
  <c r="I45" i="3" s="1"/>
  <c r="D45" i="3"/>
  <c r="H45" i="3" s="1"/>
  <c r="J45" i="3" s="1"/>
  <c r="E44" i="3"/>
  <c r="I44" i="3" s="1"/>
  <c r="D44" i="3"/>
  <c r="F44" i="3" s="1"/>
  <c r="F43" i="3"/>
  <c r="E43" i="3"/>
  <c r="I43" i="3" s="1"/>
  <c r="D43" i="3"/>
  <c r="L43" i="3" s="1"/>
  <c r="N43" i="3" s="1"/>
  <c r="E42" i="3"/>
  <c r="F42" i="3" s="1"/>
  <c r="D42" i="3"/>
  <c r="L42" i="3" s="1"/>
  <c r="N42" i="3" s="1"/>
  <c r="E41" i="3"/>
  <c r="I41" i="3" s="1"/>
  <c r="D41" i="3"/>
  <c r="F41" i="3" s="1"/>
  <c r="F40" i="3"/>
  <c r="E40" i="3"/>
  <c r="E48" i="3" s="1"/>
  <c r="D40" i="3"/>
  <c r="D48" i="3" s="1"/>
  <c r="N38" i="3"/>
  <c r="H38" i="3"/>
  <c r="G38" i="3"/>
  <c r="F38" i="3"/>
  <c r="E37" i="3"/>
  <c r="D37" i="3"/>
  <c r="L37" i="3" s="1"/>
  <c r="N37" i="3" s="1"/>
  <c r="E36" i="3"/>
  <c r="I36" i="3" s="1"/>
  <c r="D36" i="3"/>
  <c r="F36" i="3" s="1"/>
  <c r="F35" i="3"/>
  <c r="E35" i="3"/>
  <c r="I35" i="3" s="1"/>
  <c r="D35" i="3"/>
  <c r="L35" i="3" s="1"/>
  <c r="N35" i="3" s="1"/>
  <c r="I34" i="3"/>
  <c r="E34" i="3"/>
  <c r="F34" i="3" s="1"/>
  <c r="D34" i="3"/>
  <c r="L34" i="3" s="1"/>
  <c r="N34" i="3" s="1"/>
  <c r="E33" i="3"/>
  <c r="I33" i="3" s="1"/>
  <c r="D33" i="3"/>
  <c r="H33" i="3" s="1"/>
  <c r="N29" i="3"/>
  <c r="E29" i="3"/>
  <c r="I29" i="3" s="1"/>
  <c r="D29" i="3"/>
  <c r="L29" i="3" s="1"/>
  <c r="E25" i="3"/>
  <c r="I25" i="3" s="1"/>
  <c r="D25" i="3"/>
  <c r="F25" i="3" s="1"/>
  <c r="F24" i="3"/>
  <c r="E24" i="3"/>
  <c r="I24" i="3" s="1"/>
  <c r="D24" i="3"/>
  <c r="H24" i="3" s="1"/>
  <c r="J24" i="3" s="1"/>
  <c r="I23" i="3"/>
  <c r="E23" i="3"/>
  <c r="F23" i="3" s="1"/>
  <c r="D23" i="3"/>
  <c r="L23" i="3" s="1"/>
  <c r="N23" i="3" s="1"/>
  <c r="E22" i="3"/>
  <c r="I22" i="3" s="1"/>
  <c r="D22" i="3"/>
  <c r="F22" i="3" s="1"/>
  <c r="F21" i="3"/>
  <c r="E21" i="3"/>
  <c r="I21" i="3" s="1"/>
  <c r="D21" i="3"/>
  <c r="L21" i="3" s="1"/>
  <c r="N21" i="3" s="1"/>
  <c r="E20" i="3"/>
  <c r="F20" i="3" s="1"/>
  <c r="D20" i="3"/>
  <c r="L20" i="3" s="1"/>
  <c r="N20" i="3" s="1"/>
  <c r="H19" i="3"/>
  <c r="J19" i="3" s="1"/>
  <c r="E19" i="3"/>
  <c r="I19" i="3" s="1"/>
  <c r="D19" i="3"/>
  <c r="F19" i="3" s="1"/>
  <c r="F18" i="3"/>
  <c r="E18" i="3"/>
  <c r="I18" i="3" s="1"/>
  <c r="D18" i="3"/>
  <c r="L18" i="3" s="1"/>
  <c r="N18" i="3" s="1"/>
  <c r="E17" i="3"/>
  <c r="F17" i="3" s="1"/>
  <c r="D17" i="3"/>
  <c r="L15" i="3"/>
  <c r="N15" i="3" s="1"/>
  <c r="F15" i="3"/>
  <c r="E15" i="3"/>
  <c r="I15" i="3" s="1"/>
  <c r="D15" i="3"/>
  <c r="H15" i="3" s="1"/>
  <c r="J15" i="3" s="1"/>
  <c r="N14" i="3"/>
  <c r="L14" i="3"/>
  <c r="I14" i="3"/>
  <c r="E14" i="3"/>
  <c r="D14" i="3" s="1"/>
  <c r="L13" i="3"/>
  <c r="N13" i="3" s="1"/>
  <c r="H13" i="3"/>
  <c r="E13" i="3"/>
  <c r="E16" i="3" s="1"/>
  <c r="D13" i="3"/>
  <c r="F13" i="3" s="1"/>
  <c r="L12" i="3"/>
  <c r="N12" i="3" s="1"/>
  <c r="F12" i="3"/>
  <c r="E12" i="3"/>
  <c r="I12" i="3" s="1"/>
  <c r="D12" i="3"/>
  <c r="H12" i="3" s="1"/>
  <c r="J12" i="3" s="1"/>
  <c r="E11" i="3"/>
  <c r="L10" i="3"/>
  <c r="N10" i="3" s="1"/>
  <c r="E10" i="3"/>
  <c r="D10" i="3" s="1"/>
  <c r="F10" i="3" s="1"/>
  <c r="L9" i="3"/>
  <c r="N9" i="3" s="1"/>
  <c r="F9" i="3"/>
  <c r="E9" i="3"/>
  <c r="I9" i="3" s="1"/>
  <c r="D9" i="3"/>
  <c r="H9" i="3" s="1"/>
  <c r="J9" i="3" s="1"/>
  <c r="N8" i="3"/>
  <c r="L8" i="3"/>
  <c r="L11" i="3" s="1"/>
  <c r="N11" i="3" s="1"/>
  <c r="I8" i="3"/>
  <c r="I11" i="3" s="1"/>
  <c r="F8" i="3"/>
  <c r="E8" i="3"/>
  <c r="D8" i="3" s="1"/>
  <c r="L19" i="3" l="1"/>
  <c r="N19" i="3" s="1"/>
  <c r="I20" i="3"/>
  <c r="L22" i="3"/>
  <c r="N22" i="3" s="1"/>
  <c r="L25" i="3"/>
  <c r="N25" i="3" s="1"/>
  <c r="L16" i="3"/>
  <c r="N16" i="3" s="1"/>
  <c r="I17" i="3"/>
  <c r="I26" i="3" s="1"/>
  <c r="D11" i="3"/>
  <c r="F11" i="3" s="1"/>
  <c r="H8" i="3"/>
  <c r="H14" i="3"/>
  <c r="J14" i="3" s="1"/>
  <c r="F14" i="3"/>
  <c r="D16" i="3"/>
  <c r="F16" i="3" s="1"/>
  <c r="D26" i="3"/>
  <c r="E26" i="3"/>
  <c r="E27" i="3" s="1"/>
  <c r="E30" i="3" s="1"/>
  <c r="H22" i="3"/>
  <c r="J22" i="3" s="1"/>
  <c r="H25" i="3"/>
  <c r="J25" i="3" s="1"/>
  <c r="J33" i="3"/>
  <c r="L24" i="3"/>
  <c r="N24" i="3" s="1"/>
  <c r="F48" i="3"/>
  <c r="H73" i="3"/>
  <c r="F73" i="3"/>
  <c r="I13" i="3"/>
  <c r="J13" i="3" s="1"/>
  <c r="J16" i="3" s="1"/>
  <c r="H18" i="3"/>
  <c r="J18" i="3" s="1"/>
  <c r="H21" i="3"/>
  <c r="J21" i="3" s="1"/>
  <c r="F29" i="3"/>
  <c r="I39" i="3"/>
  <c r="H17" i="3"/>
  <c r="L17" i="3"/>
  <c r="H20" i="3"/>
  <c r="J20" i="3" s="1"/>
  <c r="H23" i="3"/>
  <c r="J23" i="3" s="1"/>
  <c r="H36" i="3"/>
  <c r="J36" i="3" s="1"/>
  <c r="F37" i="3"/>
  <c r="I37" i="3"/>
  <c r="L61" i="3"/>
  <c r="N61" i="3" s="1"/>
  <c r="H64" i="3"/>
  <c r="F64" i="3"/>
  <c r="H67" i="3"/>
  <c r="F67" i="3"/>
  <c r="F74" i="3"/>
  <c r="D39" i="3"/>
  <c r="F33" i="3"/>
  <c r="L33" i="3"/>
  <c r="L36" i="3"/>
  <c r="N36" i="3" s="1"/>
  <c r="E39" i="3"/>
  <c r="E49" i="3" s="1"/>
  <c r="E62" i="3" s="1"/>
  <c r="E77" i="3" s="1"/>
  <c r="H41" i="3"/>
  <c r="J41" i="3" s="1"/>
  <c r="L41" i="3"/>
  <c r="N41" i="3" s="1"/>
  <c r="I42" i="3"/>
  <c r="H44" i="3"/>
  <c r="J44" i="3" s="1"/>
  <c r="L44" i="3"/>
  <c r="N44" i="3" s="1"/>
  <c r="H46" i="3"/>
  <c r="J46" i="3" s="1"/>
  <c r="L46" i="3"/>
  <c r="N46" i="3" s="1"/>
  <c r="I51" i="3"/>
  <c r="J51" i="3" s="1"/>
  <c r="I54" i="3"/>
  <c r="I57" i="3"/>
  <c r="J57" i="3" s="1"/>
  <c r="I59" i="3"/>
  <c r="J59" i="3" s="1"/>
  <c r="I64" i="3"/>
  <c r="I70" i="3" s="1"/>
  <c r="H66" i="3"/>
  <c r="J66" i="3" s="1"/>
  <c r="I67" i="3"/>
  <c r="H69" i="3"/>
  <c r="J69" i="3" s="1"/>
  <c r="E70" i="3"/>
  <c r="E75" i="3" s="1"/>
  <c r="H72" i="3"/>
  <c r="J72" i="3" s="1"/>
  <c r="I73" i="3"/>
  <c r="H35" i="3"/>
  <c r="J35" i="3" s="1"/>
  <c r="H40" i="3"/>
  <c r="L40" i="3"/>
  <c r="H43" i="3"/>
  <c r="J43" i="3" s="1"/>
  <c r="F45" i="3"/>
  <c r="F47" i="3"/>
  <c r="I52" i="3"/>
  <c r="J52" i="3" s="1"/>
  <c r="I53" i="3"/>
  <c r="J53" i="3" s="1"/>
  <c r="I55" i="3"/>
  <c r="J55" i="3" s="1"/>
  <c r="H58" i="3"/>
  <c r="J58" i="3" s="1"/>
  <c r="D61" i="3"/>
  <c r="F61" i="3" s="1"/>
  <c r="D65" i="3"/>
  <c r="D68" i="3"/>
  <c r="H71" i="3"/>
  <c r="L74" i="3"/>
  <c r="L75" i="3" s="1"/>
  <c r="N75" i="3" s="1"/>
  <c r="H29" i="3"/>
  <c r="J29" i="3" s="1"/>
  <c r="H34" i="3"/>
  <c r="J34" i="3" s="1"/>
  <c r="H37" i="3"/>
  <c r="J37" i="3" s="1"/>
  <c r="I40" i="3"/>
  <c r="I48" i="3" s="1"/>
  <c r="I49" i="3" s="1"/>
  <c r="H42" i="3"/>
  <c r="J42" i="3" s="1"/>
  <c r="H47" i="3"/>
  <c r="J47" i="3" s="1"/>
  <c r="I50" i="3"/>
  <c r="H54" i="3"/>
  <c r="J54" i="3" s="1"/>
  <c r="I71" i="3"/>
  <c r="I74" i="3" s="1"/>
  <c r="I75" i="3" s="1"/>
  <c r="N40" i="3" l="1"/>
  <c r="L48" i="3"/>
  <c r="J64" i="3"/>
  <c r="L26" i="3"/>
  <c r="N17" i="3"/>
  <c r="D27" i="3"/>
  <c r="F26" i="3"/>
  <c r="H65" i="3"/>
  <c r="J65" i="3" s="1"/>
  <c r="F65" i="3"/>
  <c r="H74" i="3"/>
  <c r="J71" i="3"/>
  <c r="H48" i="3"/>
  <c r="J40" i="3"/>
  <c r="F39" i="3"/>
  <c r="J67" i="3"/>
  <c r="D70" i="3"/>
  <c r="H26" i="3"/>
  <c r="J17" i="3"/>
  <c r="J26" i="3" s="1"/>
  <c r="D49" i="3"/>
  <c r="H39" i="3"/>
  <c r="J39" i="3" s="1"/>
  <c r="H16" i="3"/>
  <c r="H11" i="3"/>
  <c r="J8" i="3"/>
  <c r="J11" i="3" s="1"/>
  <c r="J27" i="3" s="1"/>
  <c r="J30" i="3" s="1"/>
  <c r="I16" i="3"/>
  <c r="I27" i="3" s="1"/>
  <c r="I30" i="3" s="1"/>
  <c r="I78" i="3" s="1"/>
  <c r="I61" i="3"/>
  <c r="I62" i="3" s="1"/>
  <c r="I77" i="3" s="1"/>
  <c r="J50" i="3"/>
  <c r="J61" i="3" s="1"/>
  <c r="H68" i="3"/>
  <c r="J68" i="3" s="1"/>
  <c r="F68" i="3"/>
  <c r="L39" i="3"/>
  <c r="N39" i="3" s="1"/>
  <c r="N33" i="3"/>
  <c r="J73" i="3"/>
  <c r="H61" i="3"/>
  <c r="E78" i="3"/>
  <c r="F49" i="3" l="1"/>
  <c r="D62" i="3"/>
  <c r="F70" i="3"/>
  <c r="D75" i="3"/>
  <c r="F75" i="3" s="1"/>
  <c r="H75" i="3"/>
  <c r="J75" i="3" s="1"/>
  <c r="J74" i="3"/>
  <c r="H70" i="3"/>
  <c r="J70" i="3" s="1"/>
  <c r="H49" i="3"/>
  <c r="J48" i="3"/>
  <c r="L27" i="3"/>
  <c r="N26" i="3"/>
  <c r="N48" i="3"/>
  <c r="L49" i="3"/>
  <c r="H27" i="3"/>
  <c r="H30" i="3" s="1"/>
  <c r="D30" i="3"/>
  <c r="F27" i="3"/>
  <c r="F30" i="3" s="1"/>
  <c r="J49" i="3" l="1"/>
  <c r="J62" i="3" s="1"/>
  <c r="J77" i="3" s="1"/>
  <c r="H62" i="3"/>
  <c r="H77" i="3" s="1"/>
  <c r="D77" i="3"/>
  <c r="F62" i="3"/>
  <c r="F77" i="3" s="1"/>
  <c r="N49" i="3"/>
  <c r="L62" i="3"/>
  <c r="L30" i="3"/>
  <c r="N30" i="3" s="1"/>
  <c r="N27" i="3"/>
  <c r="L77" i="3" l="1"/>
  <c r="N62" i="3"/>
  <c r="N77" i="3" s="1"/>
  <c r="L73" i="2" l="1"/>
  <c r="N73" i="2" s="1"/>
  <c r="E73" i="2"/>
  <c r="D73" i="2" s="1"/>
  <c r="L72" i="2"/>
  <c r="N72" i="2" s="1"/>
  <c r="E72" i="2"/>
  <c r="I72" i="2" s="1"/>
  <c r="L71" i="2"/>
  <c r="N71" i="2" s="1"/>
  <c r="E71" i="2"/>
  <c r="D71" i="2"/>
  <c r="N69" i="2"/>
  <c r="L69" i="2"/>
  <c r="E69" i="2"/>
  <c r="I69" i="2" s="1"/>
  <c r="L68" i="2"/>
  <c r="N68" i="2" s="1"/>
  <c r="E68" i="2"/>
  <c r="I68" i="2" s="1"/>
  <c r="D68" i="2"/>
  <c r="H68" i="2" s="1"/>
  <c r="J68" i="2" s="1"/>
  <c r="L67" i="2"/>
  <c r="N67" i="2" s="1"/>
  <c r="E67" i="2"/>
  <c r="I67" i="2" s="1"/>
  <c r="N66" i="2"/>
  <c r="L66" i="2"/>
  <c r="E66" i="2"/>
  <c r="I66" i="2" s="1"/>
  <c r="L65" i="2"/>
  <c r="N65" i="2" s="1"/>
  <c r="E65" i="2"/>
  <c r="I65" i="2" s="1"/>
  <c r="L64" i="2"/>
  <c r="L70" i="2" s="1"/>
  <c r="N70" i="2" s="1"/>
  <c r="E64" i="2"/>
  <c r="D61" i="2"/>
  <c r="L60" i="2"/>
  <c r="E60" i="2"/>
  <c r="F60" i="2" s="1"/>
  <c r="L59" i="2"/>
  <c r="N59" i="2" s="1"/>
  <c r="H59" i="2"/>
  <c r="E59" i="2"/>
  <c r="I59" i="2" s="1"/>
  <c r="J59" i="2" s="1"/>
  <c r="L58" i="2"/>
  <c r="N58" i="2" s="1"/>
  <c r="H58" i="2"/>
  <c r="E58" i="2"/>
  <c r="I58" i="2" s="1"/>
  <c r="N57" i="2"/>
  <c r="L57" i="2"/>
  <c r="H57" i="2"/>
  <c r="E57" i="2"/>
  <c r="F57" i="2" s="1"/>
  <c r="L56" i="2"/>
  <c r="N56" i="2" s="1"/>
  <c r="H56" i="2"/>
  <c r="F56" i="2"/>
  <c r="E56" i="2"/>
  <c r="I56" i="2" s="1"/>
  <c r="L55" i="2"/>
  <c r="N55" i="2" s="1"/>
  <c r="H55" i="2"/>
  <c r="E55" i="2"/>
  <c r="I55" i="2" s="1"/>
  <c r="N54" i="2"/>
  <c r="L54" i="2"/>
  <c r="H54" i="2"/>
  <c r="E54" i="2"/>
  <c r="F54" i="2" s="1"/>
  <c r="N53" i="2"/>
  <c r="L53" i="2"/>
  <c r="H53" i="2"/>
  <c r="F53" i="2"/>
  <c r="E53" i="2"/>
  <c r="I53" i="2" s="1"/>
  <c r="L52" i="2"/>
  <c r="N52" i="2" s="1"/>
  <c r="H52" i="2"/>
  <c r="E52" i="2"/>
  <c r="I52" i="2" s="1"/>
  <c r="N51" i="2"/>
  <c r="L51" i="2"/>
  <c r="H51" i="2"/>
  <c r="E51" i="2"/>
  <c r="F51" i="2" s="1"/>
  <c r="N50" i="2"/>
  <c r="L50" i="2"/>
  <c r="L61" i="2" s="1"/>
  <c r="N61" i="2" s="1"/>
  <c r="H50" i="2"/>
  <c r="E50" i="2"/>
  <c r="E61" i="2" s="1"/>
  <c r="E47" i="2"/>
  <c r="F47" i="2" s="1"/>
  <c r="D47" i="2"/>
  <c r="L47" i="2" s="1"/>
  <c r="N47" i="2" s="1"/>
  <c r="E46" i="2"/>
  <c r="I46" i="2" s="1"/>
  <c r="D46" i="2"/>
  <c r="L46" i="2" s="1"/>
  <c r="N46" i="2" s="1"/>
  <c r="E45" i="2"/>
  <c r="I45" i="2" s="1"/>
  <c r="D45" i="2"/>
  <c r="L45" i="2" s="1"/>
  <c r="N45" i="2" s="1"/>
  <c r="E44" i="2"/>
  <c r="D44" i="2"/>
  <c r="L44" i="2" s="1"/>
  <c r="N44" i="2" s="1"/>
  <c r="E43" i="2"/>
  <c r="I43" i="2" s="1"/>
  <c r="D43" i="2"/>
  <c r="L43" i="2" s="1"/>
  <c r="N43" i="2" s="1"/>
  <c r="F42" i="2"/>
  <c r="E42" i="2"/>
  <c r="I42" i="2" s="1"/>
  <c r="D42" i="2"/>
  <c r="L42" i="2" s="1"/>
  <c r="N42" i="2" s="1"/>
  <c r="E41" i="2"/>
  <c r="F41" i="2" s="1"/>
  <c r="D41" i="2"/>
  <c r="L41" i="2" s="1"/>
  <c r="N41" i="2" s="1"/>
  <c r="E40" i="2"/>
  <c r="I40" i="2" s="1"/>
  <c r="D40" i="2"/>
  <c r="H40" i="2" s="1"/>
  <c r="L39" i="2"/>
  <c r="N39" i="2" s="1"/>
  <c r="N38" i="2"/>
  <c r="G38" i="2"/>
  <c r="H38" i="2" s="1"/>
  <c r="F38" i="2"/>
  <c r="F37" i="2"/>
  <c r="E37" i="2"/>
  <c r="I37" i="2" s="1"/>
  <c r="D37" i="2"/>
  <c r="L37" i="2" s="1"/>
  <c r="N37" i="2" s="1"/>
  <c r="E36" i="2"/>
  <c r="F36" i="2" s="1"/>
  <c r="D36" i="2"/>
  <c r="L36" i="2" s="1"/>
  <c r="N36" i="2" s="1"/>
  <c r="E35" i="2"/>
  <c r="I35" i="2" s="1"/>
  <c r="D35" i="2"/>
  <c r="E34" i="2"/>
  <c r="I34" i="2" s="1"/>
  <c r="D34" i="2"/>
  <c r="L34" i="2" s="1"/>
  <c r="N34" i="2" s="1"/>
  <c r="E33" i="2"/>
  <c r="D33" i="2"/>
  <c r="E29" i="2"/>
  <c r="I29" i="2" s="1"/>
  <c r="D29" i="2"/>
  <c r="F29" i="2" s="1"/>
  <c r="N26" i="2"/>
  <c r="E25" i="2"/>
  <c r="I25" i="2" s="1"/>
  <c r="D25" i="2"/>
  <c r="L25" i="2" s="1"/>
  <c r="N25" i="2" s="1"/>
  <c r="E24" i="2"/>
  <c r="I24" i="2" s="1"/>
  <c r="D24" i="2"/>
  <c r="H24" i="2" s="1"/>
  <c r="F23" i="2"/>
  <c r="E23" i="2"/>
  <c r="I23" i="2" s="1"/>
  <c r="D23" i="2"/>
  <c r="H23" i="2" s="1"/>
  <c r="E22" i="2"/>
  <c r="I22" i="2" s="1"/>
  <c r="D22" i="2"/>
  <c r="L22" i="2" s="1"/>
  <c r="N22" i="2" s="1"/>
  <c r="E21" i="2"/>
  <c r="I21" i="2" s="1"/>
  <c r="D21" i="2"/>
  <c r="H21" i="2" s="1"/>
  <c r="E20" i="2"/>
  <c r="I20" i="2" s="1"/>
  <c r="D20" i="2"/>
  <c r="L20" i="2" s="1"/>
  <c r="N20" i="2" s="1"/>
  <c r="E19" i="2"/>
  <c r="F19" i="2" s="1"/>
  <c r="D19" i="2"/>
  <c r="L19" i="2" s="1"/>
  <c r="N19" i="2" s="1"/>
  <c r="E18" i="2"/>
  <c r="I18" i="2" s="1"/>
  <c r="D18" i="2"/>
  <c r="H18" i="2" s="1"/>
  <c r="E17" i="2"/>
  <c r="E26" i="2" s="1"/>
  <c r="D17" i="2"/>
  <c r="L17" i="2" s="1"/>
  <c r="N17" i="2" s="1"/>
  <c r="L15" i="2"/>
  <c r="N15" i="2" s="1"/>
  <c r="E15" i="2"/>
  <c r="I15" i="2" s="1"/>
  <c r="L14" i="2"/>
  <c r="N14" i="2" s="1"/>
  <c r="E14" i="2"/>
  <c r="I14" i="2" s="1"/>
  <c r="N13" i="2"/>
  <c r="L13" i="2"/>
  <c r="E13" i="2"/>
  <c r="L12" i="2"/>
  <c r="L16" i="2" s="1"/>
  <c r="E12" i="2"/>
  <c r="I12" i="2" s="1"/>
  <c r="N10" i="2"/>
  <c r="L10" i="2"/>
  <c r="E10" i="2"/>
  <c r="D10" i="2" s="1"/>
  <c r="F10" i="2" s="1"/>
  <c r="L9" i="2"/>
  <c r="N9" i="2" s="1"/>
  <c r="E9" i="2"/>
  <c r="I9" i="2" s="1"/>
  <c r="D9" i="2"/>
  <c r="H9" i="2" s="1"/>
  <c r="L8" i="2"/>
  <c r="N8" i="2" s="1"/>
  <c r="F8" i="2"/>
  <c r="E8" i="2"/>
  <c r="D8" i="2"/>
  <c r="H8" i="2" s="1"/>
  <c r="D15" i="2" l="1"/>
  <c r="F15" i="2" s="1"/>
  <c r="F20" i="2"/>
  <c r="F35" i="2"/>
  <c r="H61" i="2"/>
  <c r="E70" i="2"/>
  <c r="D65" i="2"/>
  <c r="H65" i="2" s="1"/>
  <c r="D67" i="2"/>
  <c r="E11" i="2"/>
  <c r="J9" i="2"/>
  <c r="D12" i="2"/>
  <c r="E16" i="2"/>
  <c r="E27" i="2" s="1"/>
  <c r="E30" i="2" s="1"/>
  <c r="D14" i="2"/>
  <c r="F17" i="2"/>
  <c r="J23" i="2"/>
  <c r="J24" i="2"/>
  <c r="E39" i="2"/>
  <c r="F34" i="2"/>
  <c r="H35" i="2"/>
  <c r="J35" i="2" s="1"/>
  <c r="F44" i="2"/>
  <c r="F45" i="2"/>
  <c r="F50" i="2"/>
  <c r="F52" i="2"/>
  <c r="J53" i="2"/>
  <c r="J56" i="2"/>
  <c r="F59" i="2"/>
  <c r="D64" i="2"/>
  <c r="F64" i="2" s="1"/>
  <c r="E74" i="2"/>
  <c r="J18" i="2"/>
  <c r="H11" i="2"/>
  <c r="N16" i="2"/>
  <c r="J21" i="2"/>
  <c r="H12" i="2"/>
  <c r="I13" i="2"/>
  <c r="I16" i="2" s="1"/>
  <c r="L21" i="2"/>
  <c r="N21" i="2" s="1"/>
  <c r="L24" i="2"/>
  <c r="N24" i="2" s="1"/>
  <c r="D11" i="2"/>
  <c r="L11" i="2"/>
  <c r="N11" i="2" s="1"/>
  <c r="N12" i="2"/>
  <c r="F22" i="2"/>
  <c r="L23" i="2"/>
  <c r="N23" i="2" s="1"/>
  <c r="F25" i="2"/>
  <c r="D26" i="2"/>
  <c r="L29" i="2"/>
  <c r="N29" i="2" s="1"/>
  <c r="H29" i="2"/>
  <c r="J29" i="2" s="1"/>
  <c r="I33" i="2"/>
  <c r="I39" i="2" s="1"/>
  <c r="L35" i="2"/>
  <c r="N35" i="2" s="1"/>
  <c r="I36" i="2"/>
  <c r="D48" i="2"/>
  <c r="F40" i="2"/>
  <c r="L40" i="2"/>
  <c r="J58" i="2"/>
  <c r="H15" i="2"/>
  <c r="J15" i="2" s="1"/>
  <c r="L18" i="2"/>
  <c r="N18" i="2" s="1"/>
  <c r="I19" i="2"/>
  <c r="H17" i="2"/>
  <c r="H20" i="2"/>
  <c r="J20" i="2" s="1"/>
  <c r="I8" i="2"/>
  <c r="I11" i="2" s="1"/>
  <c r="F9" i="2"/>
  <c r="F12" i="2"/>
  <c r="D13" i="2"/>
  <c r="I17" i="2"/>
  <c r="I26" i="2" s="1"/>
  <c r="F18" i="2"/>
  <c r="H19" i="2"/>
  <c r="J19" i="2" s="1"/>
  <c r="F21" i="2"/>
  <c r="H22" i="2"/>
  <c r="J22" i="2" s="1"/>
  <c r="F24" i="2"/>
  <c r="H25" i="2"/>
  <c r="J25" i="2" s="1"/>
  <c r="D39" i="2"/>
  <c r="F39" i="2" s="1"/>
  <c r="J52" i="2"/>
  <c r="J55" i="2"/>
  <c r="J65" i="2"/>
  <c r="N74" i="2"/>
  <c r="H73" i="2"/>
  <c r="F73" i="2"/>
  <c r="J40" i="2"/>
  <c r="F61" i="2"/>
  <c r="H33" i="2"/>
  <c r="L33" i="2"/>
  <c r="N33" i="2" s="1"/>
  <c r="H36" i="2"/>
  <c r="J36" i="2" s="1"/>
  <c r="H41" i="2"/>
  <c r="F43" i="2"/>
  <c r="H44" i="2"/>
  <c r="F46" i="2"/>
  <c r="H47" i="2"/>
  <c r="E48" i="2"/>
  <c r="E49" i="2" s="1"/>
  <c r="E62" i="2" s="1"/>
  <c r="I50" i="2"/>
  <c r="F55" i="2"/>
  <c r="F58" i="2"/>
  <c r="I64" i="2"/>
  <c r="I70" i="2" s="1"/>
  <c r="N64" i="2"/>
  <c r="F65" i="2"/>
  <c r="D66" i="2"/>
  <c r="F68" i="2"/>
  <c r="D69" i="2"/>
  <c r="F71" i="2"/>
  <c r="D72" i="2"/>
  <c r="I73" i="2"/>
  <c r="I41" i="2"/>
  <c r="H43" i="2"/>
  <c r="J43" i="2" s="1"/>
  <c r="I44" i="2"/>
  <c r="H46" i="2"/>
  <c r="J46" i="2" s="1"/>
  <c r="I47" i="2"/>
  <c r="I51" i="2"/>
  <c r="J51" i="2" s="1"/>
  <c r="I54" i="2"/>
  <c r="J54" i="2" s="1"/>
  <c r="I57" i="2"/>
  <c r="J57" i="2" s="1"/>
  <c r="H71" i="2"/>
  <c r="L74" i="2"/>
  <c r="L75" i="2" s="1"/>
  <c r="N75" i="2" s="1"/>
  <c r="F33" i="2"/>
  <c r="H34" i="2"/>
  <c r="J34" i="2" s="1"/>
  <c r="H37" i="2"/>
  <c r="J37" i="2" s="1"/>
  <c r="H42" i="2"/>
  <c r="J42" i="2" s="1"/>
  <c r="H45" i="2"/>
  <c r="J45" i="2" s="1"/>
  <c r="I71" i="2"/>
  <c r="I74" i="2" s="1"/>
  <c r="I75" i="2" s="1"/>
  <c r="E75" i="2" l="1"/>
  <c r="E77" i="2" s="1"/>
  <c r="E78" i="2" s="1"/>
  <c r="H14" i="2"/>
  <c r="J14" i="2" s="1"/>
  <c r="F14" i="2"/>
  <c r="H64" i="2"/>
  <c r="J64" i="2" s="1"/>
  <c r="I48" i="2"/>
  <c r="I49" i="2" s="1"/>
  <c r="H48" i="2"/>
  <c r="F11" i="2"/>
  <c r="H67" i="2"/>
  <c r="J67" i="2" s="1"/>
  <c r="F67" i="2"/>
  <c r="J48" i="2"/>
  <c r="F72" i="2"/>
  <c r="H72" i="2"/>
  <c r="J72" i="2" s="1"/>
  <c r="J47" i="2"/>
  <c r="L27" i="2"/>
  <c r="F74" i="2"/>
  <c r="F66" i="2"/>
  <c r="H66" i="2"/>
  <c r="J66" i="2" s="1"/>
  <c r="I61" i="2"/>
  <c r="I62" i="2" s="1"/>
  <c r="I77" i="2" s="1"/>
  <c r="J50" i="2"/>
  <c r="J61" i="2" s="1"/>
  <c r="J41" i="2"/>
  <c r="H39" i="2"/>
  <c r="J39" i="2" s="1"/>
  <c r="J33" i="2"/>
  <c r="I27" i="2"/>
  <c r="I30" i="2" s="1"/>
  <c r="J17" i="2"/>
  <c r="J26" i="2" s="1"/>
  <c r="H26" i="2"/>
  <c r="D49" i="2"/>
  <c r="F48" i="2"/>
  <c r="F26" i="2"/>
  <c r="J8" i="2"/>
  <c r="J11" i="2" s="1"/>
  <c r="H74" i="2"/>
  <c r="J71" i="2"/>
  <c r="F69" i="2"/>
  <c r="H69" i="2"/>
  <c r="J69" i="2" s="1"/>
  <c r="J44" i="2"/>
  <c r="D74" i="2"/>
  <c r="J73" i="2"/>
  <c r="H13" i="2"/>
  <c r="J13" i="2" s="1"/>
  <c r="F13" i="2"/>
  <c r="D70" i="2"/>
  <c r="F70" i="2" s="1"/>
  <c r="L48" i="2"/>
  <c r="N40" i="2"/>
  <c r="J12" i="2"/>
  <c r="J16" i="2" s="1"/>
  <c r="D16" i="2"/>
  <c r="F16" i="2" s="1"/>
  <c r="H16" i="2" l="1"/>
  <c r="H75" i="2"/>
  <c r="J75" i="2" s="1"/>
  <c r="J74" i="2"/>
  <c r="D62" i="2"/>
  <c r="F49" i="2"/>
  <c r="I78" i="2"/>
  <c r="D75" i="2"/>
  <c r="F75" i="2" s="1"/>
  <c r="J27" i="2"/>
  <c r="J30" i="2" s="1"/>
  <c r="D27" i="2"/>
  <c r="H27" i="2"/>
  <c r="H30" i="2" s="1"/>
  <c r="H70" i="2"/>
  <c r="J70" i="2" s="1"/>
  <c r="H49" i="2"/>
  <c r="L49" i="2"/>
  <c r="N48" i="2"/>
  <c r="N27" i="2"/>
  <c r="L30" i="2"/>
  <c r="N30" i="2" s="1"/>
  <c r="N49" i="2" l="1"/>
  <c r="L62" i="2"/>
  <c r="D77" i="2"/>
  <c r="F62" i="2"/>
  <c r="F77" i="2" s="1"/>
  <c r="H62" i="2"/>
  <c r="H77" i="2" s="1"/>
  <c r="J49" i="2"/>
  <c r="J62" i="2" s="1"/>
  <c r="J77" i="2" s="1"/>
  <c r="D30" i="2"/>
  <c r="F27" i="2"/>
  <c r="F30" i="2" s="1"/>
  <c r="L77" i="2" l="1"/>
  <c r="N62" i="2"/>
  <c r="N77" i="2" s="1"/>
  <c r="M73" i="1" l="1"/>
  <c r="L73" i="1" s="1"/>
  <c r="N73" i="1" s="1"/>
  <c r="E73" i="1"/>
  <c r="I73" i="1" s="1"/>
  <c r="M72" i="1"/>
  <c r="L72" i="1" s="1"/>
  <c r="N72" i="1" s="1"/>
  <c r="E72" i="1"/>
  <c r="I72" i="1" s="1"/>
  <c r="M71" i="1"/>
  <c r="E71" i="1"/>
  <c r="E74" i="1" s="1"/>
  <c r="M69" i="1"/>
  <c r="L69" i="1" s="1"/>
  <c r="N69" i="1" s="1"/>
  <c r="E69" i="1"/>
  <c r="I69" i="1" s="1"/>
  <c r="M68" i="1"/>
  <c r="L68" i="1" s="1"/>
  <c r="N68" i="1" s="1"/>
  <c r="E68" i="1"/>
  <c r="I68" i="1" s="1"/>
  <c r="M67" i="1"/>
  <c r="L67" i="1" s="1"/>
  <c r="N67" i="1" s="1"/>
  <c r="E67" i="1"/>
  <c r="I67" i="1" s="1"/>
  <c r="M66" i="1"/>
  <c r="L66" i="1" s="1"/>
  <c r="N66" i="1" s="1"/>
  <c r="E66" i="1"/>
  <c r="I66" i="1" s="1"/>
  <c r="M65" i="1"/>
  <c r="L65" i="1" s="1"/>
  <c r="N65" i="1" s="1"/>
  <c r="E65" i="1"/>
  <c r="I65" i="1" s="1"/>
  <c r="M64" i="1"/>
  <c r="E64" i="1"/>
  <c r="E61" i="1"/>
  <c r="F61" i="1" s="1"/>
  <c r="D61" i="1"/>
  <c r="M60" i="1"/>
  <c r="L60" i="1"/>
  <c r="F60" i="1"/>
  <c r="M59" i="1"/>
  <c r="L59" i="1"/>
  <c r="I59" i="1"/>
  <c r="H59" i="1"/>
  <c r="F59" i="1"/>
  <c r="M58" i="1"/>
  <c r="L58" i="1"/>
  <c r="I58" i="1"/>
  <c r="H58" i="1"/>
  <c r="J58" i="1" s="1"/>
  <c r="F58" i="1"/>
  <c r="M57" i="1"/>
  <c r="L57" i="1"/>
  <c r="I57" i="1"/>
  <c r="H57" i="1"/>
  <c r="F57" i="1"/>
  <c r="M56" i="1"/>
  <c r="L56" i="1"/>
  <c r="I56" i="1"/>
  <c r="H56" i="1"/>
  <c r="F56" i="1"/>
  <c r="M55" i="1"/>
  <c r="L55" i="1"/>
  <c r="N55" i="1" s="1"/>
  <c r="I55" i="1"/>
  <c r="H55" i="1"/>
  <c r="J55" i="1" s="1"/>
  <c r="F55" i="1"/>
  <c r="M54" i="1"/>
  <c r="L54" i="1"/>
  <c r="N54" i="1" s="1"/>
  <c r="I54" i="1"/>
  <c r="H54" i="1"/>
  <c r="F54" i="1"/>
  <c r="M53" i="1"/>
  <c r="N53" i="1" s="1"/>
  <c r="L53" i="1"/>
  <c r="I53" i="1"/>
  <c r="H53" i="1"/>
  <c r="F53" i="1"/>
  <c r="M52" i="1"/>
  <c r="N52" i="1" s="1"/>
  <c r="L52" i="1"/>
  <c r="I52" i="1"/>
  <c r="H52" i="1"/>
  <c r="F52" i="1"/>
  <c r="M51" i="1"/>
  <c r="L51" i="1"/>
  <c r="I51" i="1"/>
  <c r="H51" i="1"/>
  <c r="F51" i="1"/>
  <c r="M50" i="1"/>
  <c r="L50" i="1"/>
  <c r="I50" i="1"/>
  <c r="H50" i="1"/>
  <c r="F50" i="1"/>
  <c r="F48" i="1"/>
  <c r="E48" i="1"/>
  <c r="D48" i="1"/>
  <c r="D49" i="1" s="1"/>
  <c r="D62" i="1" s="1"/>
  <c r="M47" i="1"/>
  <c r="L47" i="1"/>
  <c r="N47" i="1" s="1"/>
  <c r="I47" i="1"/>
  <c r="H47" i="1"/>
  <c r="J47" i="1" s="1"/>
  <c r="F47" i="1"/>
  <c r="M46" i="1"/>
  <c r="L46" i="1"/>
  <c r="I46" i="1"/>
  <c r="H46" i="1"/>
  <c r="F46" i="1"/>
  <c r="M45" i="1"/>
  <c r="L45" i="1"/>
  <c r="I45" i="1"/>
  <c r="H45" i="1"/>
  <c r="F45" i="1"/>
  <c r="M44" i="1"/>
  <c r="L44" i="1"/>
  <c r="N44" i="1" s="1"/>
  <c r="I44" i="1"/>
  <c r="H44" i="1"/>
  <c r="J44" i="1" s="1"/>
  <c r="F44" i="1"/>
  <c r="M43" i="1"/>
  <c r="L43" i="1"/>
  <c r="N43" i="1" s="1"/>
  <c r="I43" i="1"/>
  <c r="H43" i="1"/>
  <c r="J43" i="1" s="1"/>
  <c r="F43" i="1"/>
  <c r="M42" i="1"/>
  <c r="L42" i="1"/>
  <c r="I42" i="1"/>
  <c r="J42" i="1" s="1"/>
  <c r="H42" i="1"/>
  <c r="F42" i="1"/>
  <c r="N41" i="1"/>
  <c r="M41" i="1"/>
  <c r="L41" i="1"/>
  <c r="J41" i="1"/>
  <c r="I41" i="1"/>
  <c r="H41" i="1"/>
  <c r="F41" i="1"/>
  <c r="M40" i="1"/>
  <c r="L40" i="1"/>
  <c r="I40" i="1"/>
  <c r="I48" i="1" s="1"/>
  <c r="H40" i="1"/>
  <c r="F40" i="1"/>
  <c r="E39" i="1"/>
  <c r="F39" i="1" s="1"/>
  <c r="D39" i="1"/>
  <c r="N38" i="1"/>
  <c r="H38" i="1"/>
  <c r="G38" i="1"/>
  <c r="F38" i="1"/>
  <c r="N37" i="1"/>
  <c r="M37" i="1"/>
  <c r="L37" i="1"/>
  <c r="J37" i="1"/>
  <c r="I37" i="1"/>
  <c r="H37" i="1"/>
  <c r="F37" i="1"/>
  <c r="M36" i="1"/>
  <c r="L36" i="1"/>
  <c r="I36" i="1"/>
  <c r="H36" i="1"/>
  <c r="F36" i="1"/>
  <c r="M35" i="1"/>
  <c r="N35" i="1" s="1"/>
  <c r="L35" i="1"/>
  <c r="I35" i="1"/>
  <c r="H35" i="1"/>
  <c r="F35" i="1"/>
  <c r="M34" i="1"/>
  <c r="L34" i="1"/>
  <c r="N34" i="1" s="1"/>
  <c r="I34" i="1"/>
  <c r="H34" i="1"/>
  <c r="J34" i="1" s="1"/>
  <c r="F34" i="1"/>
  <c r="M33" i="1"/>
  <c r="L33" i="1"/>
  <c r="I33" i="1"/>
  <c r="H33" i="1"/>
  <c r="F33" i="1"/>
  <c r="M29" i="1"/>
  <c r="E29" i="1"/>
  <c r="D29" i="1"/>
  <c r="L29" i="1" s="1"/>
  <c r="N29" i="1" s="1"/>
  <c r="E26" i="1"/>
  <c r="F26" i="1" s="1"/>
  <c r="D26" i="1"/>
  <c r="M25" i="1"/>
  <c r="L25" i="1"/>
  <c r="I25" i="1"/>
  <c r="H25" i="1"/>
  <c r="F25" i="1"/>
  <c r="M24" i="1"/>
  <c r="L24" i="1"/>
  <c r="I24" i="1"/>
  <c r="J24" i="1" s="1"/>
  <c r="H24" i="1"/>
  <c r="F24" i="1"/>
  <c r="M23" i="1"/>
  <c r="L23" i="1"/>
  <c r="I23" i="1"/>
  <c r="H23" i="1"/>
  <c r="J23" i="1" s="1"/>
  <c r="F23" i="1"/>
  <c r="M22" i="1"/>
  <c r="L22" i="1"/>
  <c r="I22" i="1"/>
  <c r="H22" i="1"/>
  <c r="F22" i="1"/>
  <c r="M21" i="1"/>
  <c r="L21" i="1"/>
  <c r="N21" i="1" s="1"/>
  <c r="I21" i="1"/>
  <c r="H21" i="1"/>
  <c r="F21" i="1"/>
  <c r="M20" i="1"/>
  <c r="L20" i="1"/>
  <c r="I20" i="1"/>
  <c r="H20" i="1"/>
  <c r="J20" i="1" s="1"/>
  <c r="F20" i="1"/>
  <c r="M19" i="1"/>
  <c r="L19" i="1"/>
  <c r="I19" i="1"/>
  <c r="H19" i="1"/>
  <c r="J19" i="1" s="1"/>
  <c r="F19" i="1"/>
  <c r="M18" i="1"/>
  <c r="L18" i="1"/>
  <c r="I18" i="1"/>
  <c r="H18" i="1"/>
  <c r="F18" i="1"/>
  <c r="M17" i="1"/>
  <c r="L17" i="1"/>
  <c r="I17" i="1"/>
  <c r="I26" i="1" s="1"/>
  <c r="H17" i="1"/>
  <c r="F17" i="1"/>
  <c r="M15" i="1"/>
  <c r="L15" i="1" s="1"/>
  <c r="N15" i="1" s="1"/>
  <c r="E15" i="1"/>
  <c r="I15" i="1" s="1"/>
  <c r="M14" i="1"/>
  <c r="L14" i="1" s="1"/>
  <c r="N14" i="1" s="1"/>
  <c r="E14" i="1"/>
  <c r="I14" i="1" s="1"/>
  <c r="M13" i="1"/>
  <c r="L13" i="1" s="1"/>
  <c r="N13" i="1" s="1"/>
  <c r="E13" i="1"/>
  <c r="D13" i="1" s="1"/>
  <c r="M12" i="1"/>
  <c r="E12" i="1"/>
  <c r="M10" i="1"/>
  <c r="L10" i="1" s="1"/>
  <c r="N10" i="1" s="1"/>
  <c r="E10" i="1"/>
  <c r="M9" i="1"/>
  <c r="L9" i="1" s="1"/>
  <c r="E9" i="1"/>
  <c r="I9" i="1" s="1"/>
  <c r="M8" i="1"/>
  <c r="L8" i="1" s="1"/>
  <c r="E8" i="1"/>
  <c r="I8" i="1" s="1"/>
  <c r="D8" i="1"/>
  <c r="H8" i="1" s="1"/>
  <c r="H26" i="1" l="1"/>
  <c r="J21" i="1"/>
  <c r="J25" i="1"/>
  <c r="J51" i="1"/>
  <c r="J52" i="1"/>
  <c r="L11" i="1"/>
  <c r="J18" i="1"/>
  <c r="N19" i="1"/>
  <c r="J22" i="1"/>
  <c r="N23" i="1"/>
  <c r="N24" i="1"/>
  <c r="J36" i="1"/>
  <c r="N42" i="1"/>
  <c r="J46" i="1"/>
  <c r="J54" i="1"/>
  <c r="J56" i="1"/>
  <c r="N58" i="1"/>
  <c r="N59" i="1"/>
  <c r="E70" i="1"/>
  <c r="J57" i="1"/>
  <c r="N22" i="1"/>
  <c r="F29" i="1"/>
  <c r="J35" i="1"/>
  <c r="J45" i="1"/>
  <c r="J53" i="1"/>
  <c r="E11" i="1"/>
  <c r="M16" i="1"/>
  <c r="N18" i="1"/>
  <c r="N46" i="1"/>
  <c r="N57" i="1"/>
  <c r="I11" i="1"/>
  <c r="D9" i="1"/>
  <c r="F9" i="1" s="1"/>
  <c r="E16" i="1"/>
  <c r="M26" i="1"/>
  <c r="N20" i="1"/>
  <c r="N25" i="1"/>
  <c r="N36" i="1"/>
  <c r="N45" i="1"/>
  <c r="N51" i="1"/>
  <c r="N56" i="1"/>
  <c r="M70" i="1"/>
  <c r="M74" i="1"/>
  <c r="J8" i="1"/>
  <c r="H13" i="1"/>
  <c r="F13" i="1"/>
  <c r="M11" i="1"/>
  <c r="I13" i="1"/>
  <c r="F8" i="1"/>
  <c r="N8" i="1"/>
  <c r="D10" i="1"/>
  <c r="F10" i="1" s="1"/>
  <c r="D12" i="1"/>
  <c r="L12" i="1"/>
  <c r="D14" i="1"/>
  <c r="D15" i="1"/>
  <c r="J17" i="1"/>
  <c r="I39" i="1"/>
  <c r="I49" i="1" s="1"/>
  <c r="H48" i="1"/>
  <c r="J40" i="1"/>
  <c r="M48" i="1"/>
  <c r="H61" i="1"/>
  <c r="N50" i="1"/>
  <c r="M61" i="1"/>
  <c r="J59" i="1"/>
  <c r="E75" i="1"/>
  <c r="L26" i="1"/>
  <c r="N17" i="1"/>
  <c r="L39" i="1"/>
  <c r="N33" i="1"/>
  <c r="M39" i="1"/>
  <c r="E49" i="1"/>
  <c r="J50" i="1"/>
  <c r="I61" i="1"/>
  <c r="I12" i="1"/>
  <c r="I29" i="1"/>
  <c r="H39" i="1"/>
  <c r="J39" i="1" s="1"/>
  <c r="J33" i="1"/>
  <c r="L48" i="1"/>
  <c r="N40" i="1"/>
  <c r="L61" i="1"/>
  <c r="H29" i="1"/>
  <c r="J29" i="1" s="1"/>
  <c r="D64" i="1"/>
  <c r="L64" i="1"/>
  <c r="D65" i="1"/>
  <c r="D66" i="1"/>
  <c r="D67" i="1"/>
  <c r="D68" i="1"/>
  <c r="D69" i="1"/>
  <c r="D71" i="1"/>
  <c r="L71" i="1"/>
  <c r="D72" i="1"/>
  <c r="D73" i="1"/>
  <c r="I64" i="1"/>
  <c r="I70" i="1" s="1"/>
  <c r="I71" i="1"/>
  <c r="I74" i="1" s="1"/>
  <c r="I75" i="1" s="1"/>
  <c r="J61" i="1" l="1"/>
  <c r="I62" i="1"/>
  <c r="I77" i="1" s="1"/>
  <c r="J26" i="1"/>
  <c r="N61" i="1"/>
  <c r="N11" i="1"/>
  <c r="M75" i="1"/>
  <c r="E27" i="1"/>
  <c r="E30" i="1" s="1"/>
  <c r="I16" i="1"/>
  <c r="I27" i="1" s="1"/>
  <c r="I30" i="1" s="1"/>
  <c r="D11" i="1"/>
  <c r="F11" i="1" s="1"/>
  <c r="H9" i="1"/>
  <c r="J9" i="1" s="1"/>
  <c r="J11" i="1" s="1"/>
  <c r="F69" i="1"/>
  <c r="H69" i="1"/>
  <c r="J69" i="1" s="1"/>
  <c r="F66" i="1"/>
  <c r="H66" i="1"/>
  <c r="J66" i="1" s="1"/>
  <c r="N71" i="1"/>
  <c r="N74" i="1" s="1"/>
  <c r="L74" i="1"/>
  <c r="F68" i="1"/>
  <c r="H68" i="1"/>
  <c r="J68" i="1" s="1"/>
  <c r="F65" i="1"/>
  <c r="H65" i="1"/>
  <c r="J65" i="1" s="1"/>
  <c r="L49" i="1"/>
  <c r="N48" i="1"/>
  <c r="N39" i="1"/>
  <c r="H49" i="1"/>
  <c r="J48" i="1"/>
  <c r="L16" i="1"/>
  <c r="N16" i="1" s="1"/>
  <c r="N12" i="1"/>
  <c r="M27" i="1"/>
  <c r="M30" i="1" s="1"/>
  <c r="M78" i="1" s="1"/>
  <c r="F73" i="1"/>
  <c r="H73" i="1"/>
  <c r="J73" i="1" s="1"/>
  <c r="F71" i="1"/>
  <c r="D74" i="1"/>
  <c r="H71" i="1"/>
  <c r="F67" i="1"/>
  <c r="H67" i="1"/>
  <c r="J67" i="1" s="1"/>
  <c r="N64" i="1"/>
  <c r="L70" i="1"/>
  <c r="N70" i="1" s="1"/>
  <c r="M49" i="1"/>
  <c r="M62" i="1" s="1"/>
  <c r="M77" i="1" s="1"/>
  <c r="H15" i="1"/>
  <c r="J15" i="1" s="1"/>
  <c r="F15" i="1"/>
  <c r="D16" i="1"/>
  <c r="H12" i="1"/>
  <c r="F12" i="1"/>
  <c r="F72" i="1"/>
  <c r="H72" i="1"/>
  <c r="J72" i="1" s="1"/>
  <c r="F64" i="1"/>
  <c r="D70" i="1"/>
  <c r="F70" i="1" s="1"/>
  <c r="H64" i="1"/>
  <c r="E62" i="1"/>
  <c r="F49" i="1"/>
  <c r="N26" i="1"/>
  <c r="H14" i="1"/>
  <c r="J14" i="1" s="1"/>
  <c r="F14" i="1"/>
  <c r="J13" i="1"/>
  <c r="I78" i="1" l="1"/>
  <c r="H11" i="1"/>
  <c r="F74" i="1"/>
  <c r="J12" i="1"/>
  <c r="J16" i="1" s="1"/>
  <c r="J27" i="1" s="1"/>
  <c r="J30" i="1" s="1"/>
  <c r="H16" i="1"/>
  <c r="H27" i="1" s="1"/>
  <c r="H30" i="1" s="1"/>
  <c r="L75" i="1"/>
  <c r="N75" i="1" s="1"/>
  <c r="J71" i="1"/>
  <c r="H74" i="1"/>
  <c r="L27" i="1"/>
  <c r="E77" i="1"/>
  <c r="E78" i="1" s="1"/>
  <c r="F62" i="1"/>
  <c r="F16" i="1"/>
  <c r="D27" i="1"/>
  <c r="D75" i="1"/>
  <c r="H62" i="1"/>
  <c r="J49" i="1"/>
  <c r="J62" i="1" s="1"/>
  <c r="L62" i="1"/>
  <c r="N49" i="1"/>
  <c r="J64" i="1"/>
  <c r="H70" i="1"/>
  <c r="J70" i="1" s="1"/>
  <c r="F75" i="1" l="1"/>
  <c r="D77" i="1"/>
  <c r="J74" i="1"/>
  <c r="H75" i="1"/>
  <c r="J75" i="1" s="1"/>
  <c r="J77" i="1" s="1"/>
  <c r="N62" i="1"/>
  <c r="N77" i="1" s="1"/>
  <c r="L77" i="1"/>
  <c r="F77" i="1"/>
  <c r="F27" i="1"/>
  <c r="F30" i="1" s="1"/>
  <c r="D30" i="1"/>
  <c r="H77" i="1"/>
  <c r="N27" i="1"/>
  <c r="L30" i="1"/>
  <c r="N30" i="1" s="1"/>
</calcChain>
</file>

<file path=xl/sharedStrings.xml><?xml version="1.0" encoding="utf-8"?>
<sst xmlns="http://schemas.openxmlformats.org/spreadsheetml/2006/main" count="255" uniqueCount="78">
  <si>
    <t>UNIVERSIDAD AUTONOMA DE CHIHUAHUA</t>
  </si>
  <si>
    <t>COMPARATIVO PRESUPUESTAL POR FONDOS</t>
  </si>
  <si>
    <t>EJERCICIO 2 0 1 1</t>
  </si>
  <si>
    <t>JULIO DEL 2011</t>
  </si>
  <si>
    <t>ACUMULADO AL MES DE DICIEMBRE DEL 2003</t>
  </si>
  <si>
    <t xml:space="preserve"> ACUMULADO A JULIO 2011</t>
  </si>
  <si>
    <t>PRESUPUESTO</t>
  </si>
  <si>
    <t>R E A L</t>
  </si>
  <si>
    <t>DIFERENCIA</t>
  </si>
  <si>
    <t>I  N  G  R  E  S  O  S:</t>
  </si>
  <si>
    <t>Subsidio Federal</t>
  </si>
  <si>
    <t>Subsidio Estatal</t>
  </si>
  <si>
    <t>Subsidio Estatal Extraordinario</t>
  </si>
  <si>
    <t>SUMA SUBSIDIOS</t>
  </si>
  <si>
    <t>Recursos PIFI</t>
  </si>
  <si>
    <t>Recursos Promep</t>
  </si>
  <si>
    <t>Recursos Construcción Campus II</t>
  </si>
  <si>
    <t>Recursos Convenios</t>
  </si>
  <si>
    <t>SUMA OTROS APOYOS FED.</t>
  </si>
  <si>
    <t>Insc., Coleg. y Exámenes Posgrado</t>
  </si>
  <si>
    <t>Insc., Coleg. y Exámenes Licenciatura</t>
  </si>
  <si>
    <t>Servicios Académicos y Profesionales</t>
  </si>
  <si>
    <t>Cuotas por Incorporación</t>
  </si>
  <si>
    <t>Donativos en Efectivo</t>
  </si>
  <si>
    <t>Impuesto Universitario Municipal</t>
  </si>
  <si>
    <t>Rendimientos Financieros</t>
  </si>
  <si>
    <t>Venta de Productos</t>
  </si>
  <si>
    <t>Otros Ingresos</t>
  </si>
  <si>
    <t>SUMA INGRESOS PROPIOS</t>
  </si>
  <si>
    <t>T O T A L    I N G R E S O S</t>
  </si>
  <si>
    <t>BECAS  Y  CONDONACIONES</t>
  </si>
  <si>
    <t>I N G R E S O S   N E T O S</t>
  </si>
  <si>
    <t>FONDO GENÉRICO</t>
  </si>
  <si>
    <t>E  G  R  E  S  O  S:</t>
  </si>
  <si>
    <t>Servicios Personales</t>
  </si>
  <si>
    <t>Servicios Generales</t>
  </si>
  <si>
    <t>Materiales de Consumo</t>
  </si>
  <si>
    <t>Mantenimiento y Conservación</t>
  </si>
  <si>
    <t>Apoyos</t>
  </si>
  <si>
    <t>Transferencia entre fondos</t>
  </si>
  <si>
    <t>SUMA GASTOS OPERACION</t>
  </si>
  <si>
    <t>Producción Agrícola</t>
  </si>
  <si>
    <t>Producción Frutícola</t>
  </si>
  <si>
    <t>Producción Ganadera</t>
  </si>
  <si>
    <t>Producción Avícola</t>
  </si>
  <si>
    <t>Producción de Cárnicos</t>
  </si>
  <si>
    <t>Producción Alimentos Balanceados</t>
  </si>
  <si>
    <t>Producción de Praderas</t>
  </si>
  <si>
    <t>Producción de Especies Menores</t>
  </si>
  <si>
    <t>SUMA COSTO PRODUCCION</t>
  </si>
  <si>
    <t>SUMAN GASTOS Y COSTOS</t>
  </si>
  <si>
    <t>Obras de Arte</t>
  </si>
  <si>
    <t>Acervo Bibliográfico</t>
  </si>
  <si>
    <t>Terrenos y predios</t>
  </si>
  <si>
    <t>Edificios y Construcciones</t>
  </si>
  <si>
    <t>Maquinaria</t>
  </si>
  <si>
    <t>Mobiliario y Equipo Oficina</t>
  </si>
  <si>
    <t>Mobiliario y Equipo Académico</t>
  </si>
  <si>
    <t>Equipo de Transporte</t>
  </si>
  <si>
    <t>Equipo de Cómputo</t>
  </si>
  <si>
    <t>Pié de Cría</t>
  </si>
  <si>
    <t>Otras Inversiones</t>
  </si>
  <si>
    <t>SUMA INVERSIONES</t>
  </si>
  <si>
    <t>TOTAL  EGRESOS F. GENÉRICO</t>
  </si>
  <si>
    <t>FONDO ESPECÍFICO</t>
  </si>
  <si>
    <t>Material de Consumo</t>
  </si>
  <si>
    <t>Becas Económicas</t>
  </si>
  <si>
    <t>SUMAN GASTOS DE OPERACIÓN</t>
  </si>
  <si>
    <t>Mobiliario y Equipo</t>
  </si>
  <si>
    <t>Otros</t>
  </si>
  <si>
    <t>SUMAN  INVERSIONES</t>
  </si>
  <si>
    <t>TOTAL EGRESOS F. ESPECIFICOS</t>
  </si>
  <si>
    <t>T O T A L    E G R E S O S</t>
  </si>
  <si>
    <t xml:space="preserve">REMANENTE  (DEFICIT) </t>
  </si>
  <si>
    <t>AGOSTO DEL 2011</t>
  </si>
  <si>
    <t xml:space="preserve"> ACUMULADO A AGOSTO 2011</t>
  </si>
  <si>
    <t>SEPTIEMBRE DEL 2011</t>
  </si>
  <si>
    <t xml:space="preserve"> ACUMULADO A SEPTIEMBRE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</si>
</sst>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N$&quot;* #,##0.00_);_(&quot;N$&quot;* \(#,##0.00\);_(&quot;N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u/>
      <sz val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0" fontId="1" fillId="0" borderId="0" xfId="1"/>
    <xf numFmtId="4" fontId="3" fillId="0" borderId="4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/>
    <xf numFmtId="3" fontId="1" fillId="0" borderId="7" xfId="2" applyNumberFormat="1" applyFont="1" applyBorder="1"/>
    <xf numFmtId="3" fontId="1" fillId="0" borderId="8" xfId="2" applyNumberFormat="1" applyFont="1" applyBorder="1"/>
    <xf numFmtId="3" fontId="4" fillId="0" borderId="7" xfId="1" applyNumberFormat="1" applyFont="1" applyBorder="1"/>
    <xf numFmtId="3" fontId="1" fillId="0" borderId="6" xfId="2" applyNumberFormat="1" applyFont="1" applyBorder="1"/>
    <xf numFmtId="3" fontId="1" fillId="0" borderId="7" xfId="1" applyNumberFormat="1" applyFont="1" applyBorder="1"/>
    <xf numFmtId="0" fontId="1" fillId="0" borderId="8" xfId="1" applyFont="1" applyBorder="1"/>
    <xf numFmtId="0" fontId="1" fillId="0" borderId="7" xfId="1" applyBorder="1"/>
    <xf numFmtId="0" fontId="1" fillId="0" borderId="9" xfId="1" applyFont="1" applyBorder="1"/>
    <xf numFmtId="0" fontId="1" fillId="0" borderId="10" xfId="1" applyFont="1" applyBorder="1"/>
    <xf numFmtId="0" fontId="1" fillId="0" borderId="11" xfId="1" applyFont="1" applyBorder="1"/>
    <xf numFmtId="3" fontId="5" fillId="2" borderId="6" xfId="2" applyNumberFormat="1" applyFont="1" applyFill="1" applyBorder="1" applyAlignment="1">
      <alignment horizontal="center"/>
    </xf>
    <xf numFmtId="3" fontId="5" fillId="2" borderId="7" xfId="2" applyNumberFormat="1" applyFont="1" applyFill="1" applyBorder="1" applyAlignment="1">
      <alignment horizontal="center"/>
    </xf>
    <xf numFmtId="3" fontId="5" fillId="2" borderId="8" xfId="2" applyNumberFormat="1" applyFont="1" applyFill="1" applyBorder="1" applyAlignment="1">
      <alignment horizontal="center"/>
    </xf>
    <xf numFmtId="4" fontId="6" fillId="0" borderId="7" xfId="1" applyNumberFormat="1" applyFont="1" applyBorder="1" applyAlignment="1">
      <alignment horizontal="centerContinuous"/>
    </xf>
    <xf numFmtId="3" fontId="5" fillId="2" borderId="6" xfId="2" applyNumberFormat="1" applyFont="1" applyFill="1" applyBorder="1" applyAlignment="1">
      <alignment horizontal="centerContinuous"/>
    </xf>
    <xf numFmtId="3" fontId="5" fillId="2" borderId="7" xfId="2" applyNumberFormat="1" applyFont="1" applyFill="1" applyBorder="1" applyAlignment="1">
      <alignment horizontal="centerContinuous"/>
    </xf>
    <xf numFmtId="3" fontId="5" fillId="2" borderId="8" xfId="2" applyNumberFormat="1" applyFont="1" applyFill="1" applyBorder="1" applyAlignment="1">
      <alignment horizontal="centerContinuous"/>
    </xf>
    <xf numFmtId="0" fontId="1" fillId="0" borderId="8" xfId="1" applyBorder="1"/>
    <xf numFmtId="0" fontId="5" fillId="0" borderId="4" xfId="1" applyFont="1" applyBorder="1"/>
    <xf numFmtId="0" fontId="5" fillId="0" borderId="0" xfId="1" applyFont="1" applyBorder="1"/>
    <xf numFmtId="0" fontId="5" fillId="0" borderId="5" xfId="1" applyFont="1" applyBorder="1"/>
    <xf numFmtId="3" fontId="7" fillId="0" borderId="12" xfId="2" applyNumberFormat="1" applyFont="1" applyBorder="1" applyAlignment="1">
      <alignment horizontal="center"/>
    </xf>
    <xf numFmtId="3" fontId="7" fillId="0" borderId="13" xfId="2" applyNumberFormat="1" applyFont="1" applyBorder="1" applyAlignment="1">
      <alignment horizontal="center"/>
    </xf>
    <xf numFmtId="3" fontId="7" fillId="0" borderId="14" xfId="2" applyNumberFormat="1" applyFont="1" applyBorder="1" applyAlignment="1">
      <alignment horizontal="center"/>
    </xf>
    <xf numFmtId="0" fontId="8" fillId="3" borderId="0" xfId="1" applyFont="1" applyFill="1" applyBorder="1" applyAlignment="1">
      <alignment horizontal="centerContinuous"/>
    </xf>
    <xf numFmtId="3" fontId="7" fillId="0" borderId="15" xfId="2" applyNumberFormat="1" applyFont="1" applyBorder="1" applyAlignment="1">
      <alignment horizontal="center"/>
    </xf>
    <xf numFmtId="3" fontId="7" fillId="0" borderId="16" xfId="2" applyNumberFormat="1" applyFont="1" applyBorder="1" applyAlignment="1">
      <alignment horizontal="center"/>
    </xf>
    <xf numFmtId="0" fontId="1" fillId="0" borderId="5" xfId="1" applyBorder="1"/>
    <xf numFmtId="0" fontId="9" fillId="0" borderId="4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5" fillId="0" borderId="5" xfId="1" applyFont="1" applyBorder="1" applyAlignment="1">
      <alignment horizontal="centerContinuous"/>
    </xf>
    <xf numFmtId="3" fontId="10" fillId="0" borderId="4" xfId="2" applyNumberFormat="1" applyFont="1" applyBorder="1"/>
    <xf numFmtId="3" fontId="10" fillId="0" borderId="17" xfId="2" applyNumberFormat="1" applyFont="1" applyBorder="1"/>
    <xf numFmtId="3" fontId="10" fillId="0" borderId="5" xfId="2" applyNumberFormat="1" applyFont="1" applyBorder="1"/>
    <xf numFmtId="0" fontId="10" fillId="3" borderId="0" xfId="1" applyFont="1" applyFill="1" applyBorder="1" applyAlignment="1">
      <alignment horizontal="centerContinuous"/>
    </xf>
    <xf numFmtId="3" fontId="10" fillId="0" borderId="18" xfId="2" applyNumberFormat="1" applyFont="1" applyBorder="1"/>
    <xf numFmtId="3" fontId="10" fillId="0" borderId="19" xfId="2" applyNumberFormat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166" fontId="10" fillId="0" borderId="4" xfId="3" applyNumberFormat="1" applyFont="1" applyBorder="1"/>
    <xf numFmtId="166" fontId="10" fillId="0" borderId="17" xfId="3" applyNumberFormat="1" applyFont="1" applyBorder="1"/>
    <xf numFmtId="166" fontId="10" fillId="0" borderId="5" xfId="3" applyNumberFormat="1" applyFont="1" applyBorder="1"/>
    <xf numFmtId="166" fontId="10" fillId="0" borderId="18" xfId="3" applyNumberFormat="1" applyFont="1" applyBorder="1"/>
    <xf numFmtId="166" fontId="10" fillId="0" borderId="19" xfId="3" applyNumberFormat="1" applyFont="1" applyBorder="1"/>
    <xf numFmtId="167" fontId="10" fillId="0" borderId="18" xfId="2" applyNumberFormat="1" applyFont="1" applyBorder="1"/>
    <xf numFmtId="167" fontId="10" fillId="0" borderId="19" xfId="2" applyNumberFormat="1" applyFont="1" applyBorder="1"/>
    <xf numFmtId="3" fontId="11" fillId="0" borderId="20" xfId="2" applyNumberFormat="1" applyFont="1" applyBorder="1"/>
    <xf numFmtId="3" fontId="11" fillId="0" borderId="21" xfId="2" applyNumberFormat="1" applyFont="1" applyBorder="1"/>
    <xf numFmtId="167" fontId="11" fillId="0" borderId="22" xfId="2" applyNumberFormat="1" applyFont="1" applyBorder="1"/>
    <xf numFmtId="0" fontId="11" fillId="3" borderId="0" xfId="1" applyFont="1" applyFill="1" applyBorder="1" applyAlignment="1">
      <alignment horizontal="centerContinuous"/>
    </xf>
    <xf numFmtId="3" fontId="11" fillId="0" borderId="23" xfId="2" applyNumberFormat="1" applyFont="1" applyBorder="1"/>
    <xf numFmtId="167" fontId="11" fillId="0" borderId="24" xfId="2" applyNumberFormat="1" applyFont="1" applyBorder="1"/>
    <xf numFmtId="167" fontId="10" fillId="0" borderId="4" xfId="2" applyNumberFormat="1" applyFont="1" applyBorder="1"/>
    <xf numFmtId="167" fontId="10" fillId="0" borderId="17" xfId="2" applyNumberFormat="1" applyFont="1" applyBorder="1"/>
    <xf numFmtId="167" fontId="12" fillId="0" borderId="4" xfId="2" applyNumberFormat="1" applyFont="1" applyBorder="1"/>
    <xf numFmtId="3" fontId="1" fillId="0" borderId="0" xfId="1" applyNumberFormat="1"/>
    <xf numFmtId="3" fontId="10" fillId="0" borderId="15" xfId="2" applyNumberFormat="1" applyFont="1" applyBorder="1"/>
    <xf numFmtId="167" fontId="11" fillId="0" borderId="21" xfId="2" applyNumberFormat="1" applyFont="1" applyBorder="1"/>
    <xf numFmtId="166" fontId="5" fillId="2" borderId="20" xfId="3" applyNumberFormat="1" applyFont="1" applyFill="1" applyBorder="1"/>
    <xf numFmtId="166" fontId="5" fillId="2" borderId="21" xfId="3" applyNumberFormat="1" applyFont="1" applyFill="1" applyBorder="1"/>
    <xf numFmtId="166" fontId="5" fillId="2" borderId="22" xfId="3" applyNumberFormat="1" applyFont="1" applyFill="1" applyBorder="1"/>
    <xf numFmtId="0" fontId="5" fillId="3" borderId="0" xfId="1" applyFont="1" applyFill="1" applyBorder="1" applyAlignment="1">
      <alignment horizontal="centerContinuous"/>
    </xf>
    <xf numFmtId="166" fontId="5" fillId="2" borderId="23" xfId="3" applyNumberFormat="1" applyFont="1" applyFill="1" applyBorder="1"/>
    <xf numFmtId="166" fontId="5" fillId="2" borderId="25" xfId="3" applyNumberFormat="1" applyFont="1" applyFill="1" applyBorder="1"/>
    <xf numFmtId="166" fontId="5" fillId="0" borderId="20" xfId="3" applyNumberFormat="1" applyFont="1" applyFill="1" applyBorder="1"/>
    <xf numFmtId="166" fontId="5" fillId="0" borderId="21" xfId="3" applyNumberFormat="1" applyFont="1" applyFill="1" applyBorder="1"/>
    <xf numFmtId="166" fontId="5" fillId="0" borderId="22" xfId="3" applyNumberFormat="1" applyFont="1" applyFill="1" applyBorder="1"/>
    <xf numFmtId="166" fontId="5" fillId="2" borderId="26" xfId="3" applyNumberFormat="1" applyFont="1" applyFill="1" applyBorder="1"/>
    <xf numFmtId="3" fontId="12" fillId="0" borderId="20" xfId="2" applyNumberFormat="1" applyFont="1" applyBorder="1"/>
    <xf numFmtId="3" fontId="10" fillId="0" borderId="21" xfId="2" applyNumberFormat="1" applyFont="1" applyBorder="1"/>
    <xf numFmtId="166" fontId="10" fillId="0" borderId="22" xfId="3" applyNumberFormat="1" applyFont="1" applyBorder="1"/>
    <xf numFmtId="166" fontId="10" fillId="0" borderId="24" xfId="3" applyNumberFormat="1" applyFont="1" applyBorder="1"/>
    <xf numFmtId="3" fontId="10" fillId="0" borderId="20" xfId="2" applyNumberFormat="1" applyFont="1" applyBorder="1"/>
    <xf numFmtId="0" fontId="13" fillId="0" borderId="4" xfId="1" applyFont="1" applyBorder="1"/>
    <xf numFmtId="3" fontId="10" fillId="0" borderId="27" xfId="2" applyNumberFormat="1" applyFont="1" applyBorder="1"/>
    <xf numFmtId="0" fontId="1" fillId="0" borderId="0" xfId="1" applyFont="1" applyBorder="1" applyAlignment="1">
      <alignment horizontal="centerContinuous"/>
    </xf>
    <xf numFmtId="0" fontId="1" fillId="0" borderId="5" xfId="1" applyFont="1" applyBorder="1" applyAlignment="1">
      <alignment horizontal="centerContinuous"/>
    </xf>
    <xf numFmtId="166" fontId="12" fillId="3" borderId="4" xfId="4" applyNumberFormat="1" applyFont="1" applyFill="1" applyBorder="1"/>
    <xf numFmtId="166" fontId="12" fillId="3" borderId="17" xfId="4" applyNumberFormat="1" applyFont="1" applyFill="1" applyBorder="1"/>
    <xf numFmtId="166" fontId="12" fillId="3" borderId="5" xfId="4" applyNumberFormat="1" applyFont="1" applyFill="1" applyBorder="1"/>
    <xf numFmtId="166" fontId="12" fillId="3" borderId="18" xfId="4" applyNumberFormat="1" applyFont="1" applyFill="1" applyBorder="1"/>
    <xf numFmtId="166" fontId="12" fillId="3" borderId="19" xfId="4" applyNumberFormat="1" applyFont="1" applyFill="1" applyBorder="1"/>
    <xf numFmtId="3" fontId="12" fillId="0" borderId="4" xfId="2" applyNumberFormat="1" applyFont="1" applyBorder="1"/>
    <xf numFmtId="167" fontId="10" fillId="0" borderId="5" xfId="2" applyNumberFormat="1" applyFont="1" applyBorder="1"/>
    <xf numFmtId="0" fontId="10" fillId="0" borderId="0" xfId="1" applyFont="1" applyBorder="1"/>
    <xf numFmtId="164" fontId="10" fillId="0" borderId="12" xfId="2" applyFont="1" applyBorder="1"/>
    <xf numFmtId="164" fontId="10" fillId="0" borderId="13" xfId="2" applyFont="1" applyBorder="1"/>
    <xf numFmtId="167" fontId="10" fillId="0" borderId="14" xfId="2" applyNumberFormat="1" applyFont="1" applyBorder="1"/>
    <xf numFmtId="167" fontId="10" fillId="0" borderId="28" xfId="5" applyNumberFormat="1" applyFont="1" applyBorder="1"/>
    <xf numFmtId="2" fontId="10" fillId="0" borderId="28" xfId="1" applyNumberFormat="1" applyFont="1" applyBorder="1"/>
    <xf numFmtId="166" fontId="12" fillId="3" borderId="27" xfId="4" applyNumberFormat="1" applyFont="1" applyFill="1" applyBorder="1"/>
    <xf numFmtId="167" fontId="10" fillId="3" borderId="0" xfId="2" applyNumberFormat="1" applyFont="1" applyFill="1" applyBorder="1" applyAlignment="1">
      <alignment horizontal="centerContinuous"/>
    </xf>
    <xf numFmtId="37" fontId="10" fillId="0" borderId="19" xfId="2" applyNumberFormat="1" applyFont="1" applyBorder="1"/>
    <xf numFmtId="164" fontId="10" fillId="0" borderId="17" xfId="2" applyFont="1" applyBorder="1"/>
    <xf numFmtId="164" fontId="10" fillId="3" borderId="0" xfId="2" applyFont="1" applyFill="1" applyBorder="1" applyAlignment="1">
      <alignment horizontal="centerContinuous"/>
    </xf>
    <xf numFmtId="164" fontId="10" fillId="0" borderId="18" xfId="2" applyFont="1" applyBorder="1"/>
    <xf numFmtId="164" fontId="10" fillId="0" borderId="19" xfId="2" applyFont="1" applyBorder="1"/>
    <xf numFmtId="3" fontId="10" fillId="0" borderId="13" xfId="2" applyNumberFormat="1" applyFont="1" applyBorder="1"/>
    <xf numFmtId="3" fontId="14" fillId="3" borderId="21" xfId="2" applyNumberFormat="1" applyFont="1" applyFill="1" applyBorder="1"/>
    <xf numFmtId="3" fontId="14" fillId="3" borderId="20" xfId="2" applyNumberFormat="1" applyFont="1" applyFill="1" applyBorder="1"/>
    <xf numFmtId="0" fontId="12" fillId="3" borderId="0" xfId="1" applyFont="1" applyFill="1" applyBorder="1" applyAlignment="1">
      <alignment horizontal="centerContinuous"/>
    </xf>
    <xf numFmtId="3" fontId="14" fillId="3" borderId="23" xfId="2" applyNumberFormat="1" applyFont="1" applyFill="1" applyBorder="1"/>
    <xf numFmtId="167" fontId="12" fillId="3" borderId="17" xfId="2" applyNumberFormat="1" applyFont="1" applyFill="1" applyBorder="1"/>
    <xf numFmtId="3" fontId="11" fillId="3" borderId="20" xfId="2" applyNumberFormat="1" applyFont="1" applyFill="1" applyBorder="1"/>
    <xf numFmtId="3" fontId="11" fillId="3" borderId="21" xfId="2" applyNumberFormat="1" applyFont="1" applyFill="1" applyBorder="1"/>
    <xf numFmtId="3" fontId="11" fillId="3" borderId="23" xfId="2" applyNumberFormat="1" applyFont="1" applyFill="1" applyBorder="1"/>
    <xf numFmtId="3" fontId="5" fillId="2" borderId="20" xfId="2" applyNumberFormat="1" applyFont="1" applyFill="1" applyBorder="1"/>
    <xf numFmtId="3" fontId="5" fillId="2" borderId="21" xfId="2" applyNumberFormat="1" applyFont="1" applyFill="1" applyBorder="1"/>
    <xf numFmtId="3" fontId="5" fillId="2" borderId="23" xfId="2" applyNumberFormat="1" applyFont="1" applyFill="1" applyBorder="1"/>
    <xf numFmtId="167" fontId="5" fillId="2" borderId="24" xfId="3" applyNumberFormat="1" applyFont="1" applyFill="1" applyBorder="1"/>
    <xf numFmtId="166" fontId="5" fillId="2" borderId="24" xfId="3" applyNumberFormat="1" applyFont="1" applyFill="1" applyBorder="1"/>
    <xf numFmtId="3" fontId="10" fillId="0" borderId="4" xfId="3" applyNumberFormat="1" applyFont="1" applyBorder="1"/>
    <xf numFmtId="167" fontId="11" fillId="3" borderId="20" xfId="2" applyNumberFormat="1" applyFont="1" applyFill="1" applyBorder="1"/>
    <xf numFmtId="167" fontId="11" fillId="3" borderId="21" xfId="2" applyNumberFormat="1" applyFont="1" applyFill="1" applyBorder="1"/>
    <xf numFmtId="167" fontId="11" fillId="3" borderId="22" xfId="2" applyNumberFormat="1" applyFont="1" applyFill="1" applyBorder="1"/>
    <xf numFmtId="167" fontId="11" fillId="3" borderId="23" xfId="2" applyNumberFormat="1" applyFont="1" applyFill="1" applyBorder="1"/>
    <xf numFmtId="167" fontId="11" fillId="3" borderId="24" xfId="2" applyNumberFormat="1" applyFont="1" applyFill="1" applyBorder="1"/>
    <xf numFmtId="0" fontId="11" fillId="0" borderId="9" xfId="1" applyFont="1" applyBorder="1"/>
    <xf numFmtId="0" fontId="11" fillId="0" borderId="10" xfId="1" applyFont="1" applyBorder="1"/>
    <xf numFmtId="0" fontId="11" fillId="0" borderId="11" xfId="1" applyFont="1" applyBorder="1"/>
    <xf numFmtId="3" fontId="10" fillId="0" borderId="9" xfId="2" applyNumberFormat="1" applyFont="1" applyBorder="1"/>
    <xf numFmtId="167" fontId="11" fillId="0" borderId="29" xfId="2" applyNumberFormat="1" applyFont="1" applyBorder="1"/>
    <xf numFmtId="3" fontId="10" fillId="0" borderId="11" xfId="2" applyNumberFormat="1" applyFont="1" applyBorder="1"/>
    <xf numFmtId="0" fontId="10" fillId="3" borderId="10" xfId="1" applyFont="1" applyFill="1" applyBorder="1" applyAlignment="1">
      <alignment horizontal="centerContinuous"/>
    </xf>
    <xf numFmtId="3" fontId="10" fillId="0" borderId="30" xfId="2" applyNumberFormat="1" applyFont="1" applyBorder="1"/>
    <xf numFmtId="37" fontId="11" fillId="0" borderId="29" xfId="2" applyNumberFormat="1" applyFont="1" applyBorder="1"/>
    <xf numFmtId="3" fontId="10" fillId="0" borderId="31" xfId="2" applyNumberFormat="1" applyFont="1" applyBorder="1"/>
    <xf numFmtId="0" fontId="1" fillId="0" borderId="11" xfId="1" applyBorder="1"/>
    <xf numFmtId="0" fontId="5" fillId="0" borderId="0" xfId="1" applyFont="1"/>
    <xf numFmtId="167" fontId="0" fillId="0" borderId="0" xfId="2" applyNumberFormat="1" applyFont="1"/>
    <xf numFmtId="166" fontId="10" fillId="0" borderId="4" xfId="3" applyNumberFormat="1" applyFont="1" applyFill="1" applyBorder="1"/>
    <xf numFmtId="3" fontId="10" fillId="0" borderId="4" xfId="2" applyNumberFormat="1" applyFont="1" applyFill="1" applyBorder="1"/>
    <xf numFmtId="164" fontId="10" fillId="0" borderId="4" xfId="2" applyFont="1" applyBorder="1"/>
    <xf numFmtId="164" fontId="10" fillId="0" borderId="5" xfId="2" applyFont="1" applyBorder="1"/>
    <xf numFmtId="164" fontId="0" fillId="0" borderId="5" xfId="2" applyFont="1" applyBorder="1"/>
    <xf numFmtId="166" fontId="1" fillId="0" borderId="0" xfId="1" applyNumberFormat="1"/>
    <xf numFmtId="168" fontId="1" fillId="0" borderId="0" xfId="1" applyNumberFormat="1"/>
    <xf numFmtId="167" fontId="0" fillId="0" borderId="5" xfId="2" applyNumberFormat="1" applyFont="1" applyBorder="1"/>
  </cellXfs>
  <cellStyles count="6">
    <cellStyle name="Millares 2" xfId="2"/>
    <cellStyle name="Millares_Libro2" xfId="5"/>
    <cellStyle name="Moneda 2" xfId="3"/>
    <cellStyle name="Moneda_Libro2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COMPAQ/respaldolanix/edosfinan/2003/NOVIEM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JUN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Prorrateo-Ppto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AGOST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366414791</v>
          </cell>
        </row>
      </sheetData>
      <sheetData sheetId="3">
        <row r="17">
          <cell r="L17">
            <v>50569518.745142616</v>
          </cell>
        </row>
        <row r="18">
          <cell r="L18">
            <v>114610651.4853382</v>
          </cell>
        </row>
        <row r="19">
          <cell r="L19">
            <v>46762926.239134043</v>
          </cell>
        </row>
        <row r="20">
          <cell r="L20">
            <v>5755986.576384169</v>
          </cell>
        </row>
        <row r="21">
          <cell r="L21">
            <v>2276859.8848953848</v>
          </cell>
        </row>
        <row r="22">
          <cell r="L22">
            <v>22180794.921731487</v>
          </cell>
        </row>
        <row r="23">
          <cell r="L23">
            <v>3024152.3344641631</v>
          </cell>
        </row>
        <row r="24">
          <cell r="L24">
            <v>3400574.6091136942</v>
          </cell>
        </row>
        <row r="25">
          <cell r="L25">
            <v>17783516.001177233</v>
          </cell>
        </row>
        <row r="29">
          <cell r="L29">
            <v>30931064.068750888</v>
          </cell>
        </row>
        <row r="33">
          <cell r="L33">
            <v>531239633.84724319</v>
          </cell>
        </row>
        <row r="34">
          <cell r="L34">
            <v>80718579.667346045</v>
          </cell>
        </row>
        <row r="35">
          <cell r="L35">
            <v>36406713.651237145</v>
          </cell>
        </row>
        <row r="36">
          <cell r="L36">
            <v>28313968.438408673</v>
          </cell>
        </row>
        <row r="37">
          <cell r="L37">
            <v>21850872.396732807</v>
          </cell>
        </row>
        <row r="40">
          <cell r="L40">
            <v>915474.5491262126</v>
          </cell>
        </row>
        <row r="41">
          <cell r="L41">
            <v>323148.7832424161</v>
          </cell>
        </row>
        <row r="42">
          <cell r="L42">
            <v>1875348.7906619136</v>
          </cell>
        </row>
        <row r="43">
          <cell r="L43">
            <v>86028.999302830125</v>
          </cell>
        </row>
        <row r="44">
          <cell r="L44">
            <v>390051.01172555151</v>
          </cell>
        </row>
        <row r="45">
          <cell r="L45">
            <v>0.01</v>
          </cell>
        </row>
        <row r="46">
          <cell r="L46">
            <v>114308.30661793407</v>
          </cell>
        </row>
        <row r="47">
          <cell r="L47">
            <v>100127.81807430812</v>
          </cell>
        </row>
        <row r="50">
          <cell r="L50">
            <v>255000</v>
          </cell>
        </row>
        <row r="51">
          <cell r="L51">
            <v>100000</v>
          </cell>
        </row>
        <row r="52">
          <cell r="L52">
            <v>0</v>
          </cell>
        </row>
        <row r="53">
          <cell r="L53">
            <v>20868506</v>
          </cell>
        </row>
        <row r="54">
          <cell r="L54">
            <v>0</v>
          </cell>
        </row>
        <row r="55">
          <cell r="L55">
            <v>8300000</v>
          </cell>
        </row>
        <row r="56">
          <cell r="L56">
            <v>3039751</v>
          </cell>
        </row>
        <row r="57">
          <cell r="L57">
            <v>3300000</v>
          </cell>
        </row>
        <row r="58">
          <cell r="L58">
            <v>4050000</v>
          </cell>
        </row>
        <row r="59">
          <cell r="L59">
            <v>265000</v>
          </cell>
        </row>
        <row r="60">
          <cell r="L60">
            <v>0</v>
          </cell>
        </row>
      </sheetData>
      <sheetData sheetId="4"/>
      <sheetData sheetId="5">
        <row r="13">
          <cell r="G13">
            <v>4499.7299999999814</v>
          </cell>
        </row>
      </sheetData>
      <sheetData sheetId="6">
        <row r="6">
          <cell r="E6">
            <v>41903000</v>
          </cell>
        </row>
        <row r="7">
          <cell r="E7">
            <v>28819699</v>
          </cell>
        </row>
        <row r="8">
          <cell r="E8">
            <v>0</v>
          </cell>
        </row>
        <row r="10">
          <cell r="E10">
            <v>4256312.51</v>
          </cell>
        </row>
        <row r="11">
          <cell r="E11">
            <v>501263.05</v>
          </cell>
        </row>
        <row r="12">
          <cell r="E12">
            <v>0</v>
          </cell>
        </row>
        <row r="13">
          <cell r="E13">
            <v>5927680</v>
          </cell>
        </row>
        <row r="29">
          <cell r="E29">
            <v>608400.75</v>
          </cell>
        </row>
        <row r="52">
          <cell r="E52">
            <v>53200</v>
          </cell>
        </row>
        <row r="54">
          <cell r="E54">
            <v>830193.3</v>
          </cell>
        </row>
        <row r="55">
          <cell r="E55">
            <v>1008046.92</v>
          </cell>
        </row>
        <row r="56">
          <cell r="E56">
            <v>0</v>
          </cell>
        </row>
        <row r="57">
          <cell r="E57">
            <v>355723.75</v>
          </cell>
        </row>
      </sheetData>
      <sheetData sheetId="7">
        <row r="6">
          <cell r="R6">
            <v>366414791</v>
          </cell>
        </row>
        <row r="7">
          <cell r="R7">
            <v>230557593</v>
          </cell>
        </row>
        <row r="8">
          <cell r="R8">
            <v>0</v>
          </cell>
        </row>
        <row r="10">
          <cell r="R10">
            <v>21698197.02</v>
          </cell>
        </row>
        <row r="11">
          <cell r="R11">
            <v>5581055.120000001</v>
          </cell>
        </row>
        <row r="12">
          <cell r="R12">
            <v>0</v>
          </cell>
        </row>
        <row r="13">
          <cell r="R13">
            <v>13938463.42</v>
          </cell>
        </row>
        <row r="15">
          <cell r="R15">
            <v>48717542.929999992</v>
          </cell>
        </row>
        <row r="16">
          <cell r="R16">
            <v>100294127.5</v>
          </cell>
        </row>
        <row r="17">
          <cell r="R17">
            <v>36831015.840000004</v>
          </cell>
        </row>
        <row r="18">
          <cell r="R18">
            <v>6299345.8099999996</v>
          </cell>
        </row>
        <row r="19">
          <cell r="R19">
            <v>4518136</v>
          </cell>
        </row>
        <row r="20">
          <cell r="R20">
            <v>1202356.68</v>
          </cell>
        </row>
        <row r="21">
          <cell r="R21">
            <v>22005650.809999999</v>
          </cell>
        </row>
        <row r="22">
          <cell r="R22">
            <v>2280151.5700000003</v>
          </cell>
        </row>
        <row r="23">
          <cell r="R23">
            <v>3776215.56</v>
          </cell>
        </row>
        <row r="24">
          <cell r="R24">
            <v>17420931.91</v>
          </cell>
        </row>
        <row r="29">
          <cell r="R29">
            <v>29550218.600000001</v>
          </cell>
        </row>
        <row r="33">
          <cell r="R33">
            <v>554225277.54999995</v>
          </cell>
        </row>
        <row r="35">
          <cell r="R35">
            <v>39703526.450000003</v>
          </cell>
        </row>
        <row r="36">
          <cell r="R36">
            <v>25954057.469999999</v>
          </cell>
        </row>
        <row r="37">
          <cell r="R37">
            <v>23866182.280000001</v>
          </cell>
        </row>
        <row r="39">
          <cell r="R39">
            <v>719236.20000000007</v>
          </cell>
        </row>
        <row r="40">
          <cell r="R40">
            <v>915624.16999999993</v>
          </cell>
        </row>
        <row r="41">
          <cell r="R41">
            <v>2193510.11</v>
          </cell>
        </row>
        <row r="42">
          <cell r="R42">
            <v>74549.03</v>
          </cell>
        </row>
        <row r="43">
          <cell r="R43">
            <v>410262.31999999995</v>
          </cell>
        </row>
        <row r="44">
          <cell r="R44">
            <v>0</v>
          </cell>
        </row>
        <row r="45">
          <cell r="R45">
            <v>175092</v>
          </cell>
        </row>
        <row r="46">
          <cell r="R46">
            <v>40216.11</v>
          </cell>
        </row>
        <row r="51">
          <cell r="R51">
            <v>644110</v>
          </cell>
        </row>
        <row r="53">
          <cell r="R53">
            <v>6194181.3399999999</v>
          </cell>
        </row>
        <row r="54">
          <cell r="R54">
            <v>2962710.07</v>
          </cell>
        </row>
        <row r="55">
          <cell r="R55">
            <v>0</v>
          </cell>
        </row>
        <row r="56">
          <cell r="R56">
            <v>4715748.7699999996</v>
          </cell>
        </row>
      </sheetData>
      <sheetData sheetId="8">
        <row r="7">
          <cell r="J7">
            <v>366414791</v>
          </cell>
        </row>
        <row r="64">
          <cell r="D64">
            <v>600663.75</v>
          </cell>
        </row>
      </sheetData>
      <sheetData sheetId="9">
        <row r="6">
          <cell r="Q6">
            <v>41903000</v>
          </cell>
        </row>
        <row r="35">
          <cell r="S35">
            <v>79818708.13000001</v>
          </cell>
        </row>
        <row r="51">
          <cell r="S51">
            <v>74310</v>
          </cell>
        </row>
        <row r="52">
          <cell r="S52">
            <v>92229.5</v>
          </cell>
        </row>
        <row r="53">
          <cell r="S53">
            <v>0</v>
          </cell>
        </row>
        <row r="54">
          <cell r="S54">
            <v>17058275.649999999</v>
          </cell>
        </row>
        <row r="55">
          <cell r="S55">
            <v>20087.530000000002</v>
          </cell>
        </row>
        <row r="56">
          <cell r="S56">
            <v>7472804.8899999997</v>
          </cell>
        </row>
        <row r="57">
          <cell r="S57">
            <v>2448516.13</v>
          </cell>
        </row>
        <row r="58">
          <cell r="S58">
            <v>2051702.55</v>
          </cell>
        </row>
        <row r="59">
          <cell r="S59">
            <v>3220263.17</v>
          </cell>
        </row>
        <row r="60">
          <cell r="S60">
            <v>122894</v>
          </cell>
        </row>
        <row r="61">
          <cell r="S61">
            <v>0</v>
          </cell>
        </row>
        <row r="67">
          <cell r="S67">
            <v>8753352.3099999987</v>
          </cell>
        </row>
        <row r="73">
          <cell r="Q73">
            <v>5370168.3600000003</v>
          </cell>
          <cell r="S73">
            <v>5370168.3600000003</v>
          </cell>
        </row>
        <row r="74">
          <cell r="Q74">
            <v>2457895.29</v>
          </cell>
          <cell r="S74">
            <v>13728053.879999999</v>
          </cell>
        </row>
        <row r="75">
          <cell r="Q75">
            <v>0</v>
          </cell>
          <cell r="S75">
            <v>0</v>
          </cell>
        </row>
      </sheetData>
      <sheetData sheetId="10">
        <row r="27">
          <cell r="B27">
            <v>381129.73</v>
          </cell>
        </row>
      </sheetData>
      <sheetData sheetId="11">
        <row r="62">
          <cell r="M62">
            <v>3261668.85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COMPRES"/>
      <sheetName val="BAL"/>
      <sheetName val="BALCOM"/>
      <sheetName val="rdo"/>
      <sheetName val="RDOACUM"/>
      <sheetName val="IYE"/>
      <sheetName val="CAJA"/>
      <sheetName val="CUSTODIA"/>
      <sheetName val="balan"/>
      <sheetName val="GRAFICO"/>
      <sheetName val="COMPARATIVO GLOBAL"/>
      <sheetName val="edad de empleados &quot;P&quot; "/>
    </sheetNames>
    <sheetDataSet>
      <sheetData sheetId="0" refreshError="1">
        <row r="8">
          <cell r="I8">
            <v>307560118</v>
          </cell>
          <cell r="J8">
            <v>0</v>
          </cell>
        </row>
        <row r="9">
          <cell r="I9">
            <v>209881081</v>
          </cell>
          <cell r="J9">
            <v>0</v>
          </cell>
        </row>
        <row r="11">
          <cell r="I11">
            <v>517441199</v>
          </cell>
          <cell r="J11">
            <v>0</v>
          </cell>
        </row>
        <row r="12">
          <cell r="I12">
            <v>32706744.140000001</v>
          </cell>
          <cell r="J12">
            <v>157</v>
          </cell>
        </row>
        <row r="13">
          <cell r="I13">
            <v>10243264.48</v>
          </cell>
          <cell r="J13">
            <v>228</v>
          </cell>
        </row>
        <row r="14">
          <cell r="I14">
            <v>52509047.629999995</v>
          </cell>
          <cell r="J14">
            <v>61</v>
          </cell>
        </row>
        <row r="16">
          <cell r="I16">
            <v>102960501.67</v>
          </cell>
          <cell r="J16">
            <v>14961</v>
          </cell>
        </row>
        <row r="17">
          <cell r="I17">
            <v>44855503.149999999</v>
          </cell>
          <cell r="J17">
            <v>-1391742.401609689</v>
          </cell>
        </row>
        <row r="18">
          <cell r="I18">
            <v>89762451.75</v>
          </cell>
          <cell r="J18">
            <v>-143511.65878340602</v>
          </cell>
        </row>
        <row r="20">
          <cell r="I20">
            <v>6456089</v>
          </cell>
          <cell r="J20">
            <v>-824872.64402966667</v>
          </cell>
        </row>
        <row r="21">
          <cell r="I21">
            <v>3066490.5</v>
          </cell>
          <cell r="J21">
            <v>-837165.03425335465</v>
          </cell>
        </row>
        <row r="22">
          <cell r="I22">
            <v>13963946.98</v>
          </cell>
          <cell r="J22">
            <v>5476590.1017196476</v>
          </cell>
        </row>
        <row r="23">
          <cell r="I23">
            <v>1227930.77</v>
          </cell>
          <cell r="J23">
            <v>1184117.2799068643</v>
          </cell>
        </row>
        <row r="24">
          <cell r="I24">
            <v>4592975.79</v>
          </cell>
          <cell r="J24">
            <v>-1225917.1606967468</v>
          </cell>
        </row>
        <row r="25">
          <cell r="I25">
            <v>20445177.010000002</v>
          </cell>
          <cell r="J25">
            <v>-13231678.671173085</v>
          </cell>
        </row>
        <row r="29">
          <cell r="I29">
            <v>20613852.129999999</v>
          </cell>
          <cell r="J29">
            <v>-1362199.5320105478</v>
          </cell>
        </row>
        <row r="33">
          <cell r="I33">
            <v>510902138.81</v>
          </cell>
          <cell r="J33">
            <v>-12416191.579727411</v>
          </cell>
        </row>
        <row r="34">
          <cell r="I34">
            <v>73849589.75</v>
          </cell>
          <cell r="J34">
            <v>-9525329.4005978554</v>
          </cell>
        </row>
        <row r="35">
          <cell r="I35">
            <v>31849267.199999999</v>
          </cell>
          <cell r="J35">
            <v>-3824257.4127516337</v>
          </cell>
        </row>
        <row r="36">
          <cell r="I36">
            <v>22904751.640000001</v>
          </cell>
          <cell r="J36">
            <v>-3869414.5812738873</v>
          </cell>
        </row>
        <row r="37">
          <cell r="I37">
            <v>13061729.01</v>
          </cell>
          <cell r="J37">
            <v>-3543144.310273502</v>
          </cell>
        </row>
        <row r="39">
          <cell r="I39">
            <v>652567476.40999997</v>
          </cell>
          <cell r="J39">
            <v>-33178337.284624338</v>
          </cell>
        </row>
        <row r="40">
          <cell r="I40">
            <v>735735.17</v>
          </cell>
          <cell r="J40">
            <v>285244.55788228533</v>
          </cell>
        </row>
        <row r="41">
          <cell r="I41">
            <v>40495.9</v>
          </cell>
          <cell r="J41">
            <v>21105.862146337357</v>
          </cell>
        </row>
        <row r="42">
          <cell r="I42">
            <v>1607360.2</v>
          </cell>
          <cell r="J42">
            <v>520483.54601779697</v>
          </cell>
        </row>
        <row r="43">
          <cell r="I43">
            <v>211682.3</v>
          </cell>
          <cell r="J43">
            <v>93897.730882829695</v>
          </cell>
        </row>
        <row r="44">
          <cell r="I44">
            <v>290385.82999999996</v>
          </cell>
          <cell r="J44">
            <v>169352.92368459678</v>
          </cell>
        </row>
        <row r="45">
          <cell r="I45">
            <v>0</v>
          </cell>
          <cell r="J45">
            <v>0</v>
          </cell>
        </row>
        <row r="46">
          <cell r="I46">
            <v>147895</v>
          </cell>
          <cell r="J46">
            <v>208716.60819465137</v>
          </cell>
        </row>
        <row r="49">
          <cell r="I49">
            <v>655739271.24000001</v>
          </cell>
          <cell r="J49">
            <v>-31918704.151584148</v>
          </cell>
        </row>
        <row r="50">
          <cell r="I50">
            <v>168000</v>
          </cell>
          <cell r="J50">
            <v>36500</v>
          </cell>
        </row>
        <row r="51">
          <cell r="I51">
            <v>181001.05</v>
          </cell>
          <cell r="J51">
            <v>358031.95</v>
          </cell>
        </row>
        <row r="52">
          <cell r="I52">
            <v>0</v>
          </cell>
          <cell r="J52">
            <v>0</v>
          </cell>
        </row>
        <row r="53">
          <cell r="I53">
            <v>23713675.899999999</v>
          </cell>
          <cell r="J53">
            <v>-4676884.8999999985</v>
          </cell>
        </row>
        <row r="54">
          <cell r="I54">
            <v>16195</v>
          </cell>
          <cell r="J54">
            <v>335137</v>
          </cell>
        </row>
        <row r="55">
          <cell r="I55">
            <v>1746494.88</v>
          </cell>
          <cell r="J55">
            <v>1149611.5700000003</v>
          </cell>
        </row>
        <row r="56">
          <cell r="I56">
            <v>4212298.28</v>
          </cell>
          <cell r="J56">
            <v>-17910.730000000447</v>
          </cell>
        </row>
        <row r="57">
          <cell r="I57">
            <v>1208098</v>
          </cell>
          <cell r="J57">
            <v>2950593.19</v>
          </cell>
        </row>
        <row r="58">
          <cell r="I58">
            <v>-548545.14000000013</v>
          </cell>
          <cell r="J58">
            <v>2881176.21</v>
          </cell>
        </row>
        <row r="61">
          <cell r="I61">
            <v>30565546.969999999</v>
          </cell>
          <cell r="J61">
            <v>3266212.2900000014</v>
          </cell>
        </row>
        <row r="63">
          <cell r="I63">
            <v>8524380</v>
          </cell>
          <cell r="J63">
            <v>8521861</v>
          </cell>
        </row>
        <row r="64">
          <cell r="I64" t="e">
            <v>#REF!</v>
          </cell>
          <cell r="J64" t="e">
            <v>#REF!</v>
          </cell>
        </row>
        <row r="65">
          <cell r="I65">
            <v>10506725.57</v>
          </cell>
          <cell r="J65">
            <v>2519</v>
          </cell>
        </row>
        <row r="66">
          <cell r="I66">
            <v>10183033.52</v>
          </cell>
          <cell r="J66">
            <v>59</v>
          </cell>
        </row>
        <row r="67">
          <cell r="I67">
            <v>1003318.21</v>
          </cell>
          <cell r="J67">
            <v>162</v>
          </cell>
        </row>
        <row r="69">
          <cell r="I69">
            <v>6363922.6299999999</v>
          </cell>
          <cell r="J69">
            <v>118</v>
          </cell>
        </row>
        <row r="70">
          <cell r="I70" t="e">
            <v>#REF!</v>
          </cell>
          <cell r="J70" t="e">
            <v>#REF!</v>
          </cell>
        </row>
        <row r="71">
          <cell r="I71">
            <v>58016772.629999995</v>
          </cell>
          <cell r="J71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324511791</v>
          </cell>
        </row>
      </sheetData>
      <sheetData sheetId="3">
        <row r="17">
          <cell r="L17">
            <v>48971708.523866683</v>
          </cell>
        </row>
        <row r="18">
          <cell r="L18">
            <v>101126509.81776565</v>
          </cell>
        </row>
        <row r="19">
          <cell r="L19">
            <v>41051088.978002846</v>
          </cell>
        </row>
        <row r="20">
          <cell r="L20">
            <v>5550337.6511613652</v>
          </cell>
        </row>
        <row r="21">
          <cell r="L21">
            <v>2188357.4784443332</v>
          </cell>
        </row>
        <row r="22">
          <cell r="L22">
            <v>21922662.93049524</v>
          </cell>
        </row>
        <row r="23">
          <cell r="L23">
            <v>2736012.9374583592</v>
          </cell>
        </row>
        <row r="24">
          <cell r="L24">
            <v>3021196.4043244491</v>
          </cell>
        </row>
        <row r="25">
          <cell r="L25">
            <v>17785626.401347362</v>
          </cell>
        </row>
        <row r="29">
          <cell r="L29">
            <v>29787803.127293713</v>
          </cell>
        </row>
        <row r="33">
          <cell r="L33">
            <v>465296713.47181571</v>
          </cell>
        </row>
        <row r="34">
          <cell r="L34">
            <v>73342776.843714237</v>
          </cell>
        </row>
        <row r="35">
          <cell r="L35">
            <v>35041655.859399907</v>
          </cell>
        </row>
        <row r="36">
          <cell r="L36">
            <v>25326010.931612782</v>
          </cell>
        </row>
        <row r="37">
          <cell r="L37">
            <v>20642394.208041146</v>
          </cell>
        </row>
        <row r="40">
          <cell r="L40">
            <v>875084.2266396659</v>
          </cell>
        </row>
        <row r="41">
          <cell r="L41">
            <v>274550.57064676349</v>
          </cell>
        </row>
        <row r="42">
          <cell r="L42">
            <v>1745261.2350696814</v>
          </cell>
        </row>
        <row r="43">
          <cell r="L43">
            <v>79179.54020354338</v>
          </cell>
        </row>
        <row r="44">
          <cell r="L44">
            <v>386458.54299875163</v>
          </cell>
        </row>
        <row r="45">
          <cell r="L45">
            <v>0.01</v>
          </cell>
        </row>
        <row r="46">
          <cell r="L46">
            <v>107224.84316410926</v>
          </cell>
        </row>
        <row r="47">
          <cell r="L47">
            <v>100117.975188607</v>
          </cell>
        </row>
        <row r="50">
          <cell r="L50">
            <v>170000</v>
          </cell>
        </row>
        <row r="51">
          <cell r="L51">
            <v>100000</v>
          </cell>
        </row>
        <row r="52">
          <cell r="L52">
            <v>0</v>
          </cell>
        </row>
        <row r="53">
          <cell r="L53">
            <v>17458755</v>
          </cell>
        </row>
        <row r="54">
          <cell r="L54">
            <v>0</v>
          </cell>
        </row>
        <row r="55">
          <cell r="L55">
            <v>7550000</v>
          </cell>
        </row>
        <row r="56">
          <cell r="L56">
            <v>2639751</v>
          </cell>
        </row>
        <row r="57">
          <cell r="L57">
            <v>3200000</v>
          </cell>
        </row>
        <row r="58">
          <cell r="L58">
            <v>3140000</v>
          </cell>
        </row>
        <row r="59">
          <cell r="L59">
            <v>180000</v>
          </cell>
        </row>
        <row r="60">
          <cell r="L60">
            <v>0</v>
          </cell>
        </row>
      </sheetData>
      <sheetData sheetId="4"/>
      <sheetData sheetId="5"/>
      <sheetData sheetId="6">
        <row r="6">
          <cell r="E6">
            <v>52455791</v>
          </cell>
        </row>
      </sheetData>
      <sheetData sheetId="7"/>
      <sheetData sheetId="8">
        <row r="7">
          <cell r="J7">
            <v>324511791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br"/>
      <sheetName val="IyE-2010"/>
    </sheetNames>
    <sheetDataSet>
      <sheetData sheetId="0">
        <row r="15">
          <cell r="AW15">
            <v>1597810.2212759322</v>
          </cell>
          <cell r="AY15">
            <v>19521423.197319422</v>
          </cell>
          <cell r="BA15">
            <v>11023460.900330033</v>
          </cell>
        </row>
        <row r="16">
          <cell r="AY16">
            <v>78165290.365143821</v>
          </cell>
          <cell r="BA16">
            <v>1469431.3330880424</v>
          </cell>
        </row>
        <row r="17">
          <cell r="AY17">
            <v>12750220.71917008</v>
          </cell>
          <cell r="BA17">
            <v>4835297.3303221548</v>
          </cell>
        </row>
        <row r="18">
          <cell r="AY18">
            <v>935470.82933561038</v>
          </cell>
          <cell r="BA18">
            <v>2222130.6615989855</v>
          </cell>
        </row>
        <row r="19">
          <cell r="AY19">
            <v>549459.641581923</v>
          </cell>
          <cell r="BA19">
            <v>208696.51260712231</v>
          </cell>
        </row>
        <row r="20">
          <cell r="AY20">
            <v>322492.15513889788</v>
          </cell>
          <cell r="BA20">
            <v>261989.70314214067</v>
          </cell>
        </row>
        <row r="21">
          <cell r="AY21">
            <v>500470.01217814733</v>
          </cell>
          <cell r="BA21">
            <v>292717.68242295278</v>
          </cell>
        </row>
        <row r="22">
          <cell r="AY22">
            <v>489559.14538247813</v>
          </cell>
          <cell r="BA22">
            <v>967956.50539352919</v>
          </cell>
        </row>
        <row r="23">
          <cell r="AY23">
            <v>5158718.5814727042</v>
          </cell>
          <cell r="BA23">
            <v>2023003.9645865543</v>
          </cell>
        </row>
        <row r="28">
          <cell r="AW28">
            <v>1143260.9414571745</v>
          </cell>
          <cell r="AY28">
            <v>17967390.569705777</v>
          </cell>
          <cell r="BA28">
            <v>5159398.566091123</v>
          </cell>
        </row>
        <row r="34">
          <cell r="AY34">
            <v>72748074.13516064</v>
          </cell>
          <cell r="BA34">
            <v>74031679.375382289</v>
          </cell>
        </row>
        <row r="35">
          <cell r="AY35">
            <v>10727447.108028714</v>
          </cell>
          <cell r="BA35">
            <v>13288889.674337907</v>
          </cell>
        </row>
        <row r="36">
          <cell r="AY36">
            <v>7953534.1208859691</v>
          </cell>
          <cell r="BA36">
            <v>6105732.6685507884</v>
          </cell>
        </row>
        <row r="37">
          <cell r="AY37">
            <v>8518811.4107111786</v>
          </cell>
          <cell r="BA37">
            <v>5981604.3368407367</v>
          </cell>
        </row>
        <row r="38">
          <cell r="AY38">
            <v>3659511.4987451942</v>
          </cell>
          <cell r="BA38">
            <v>4144083.5680873552</v>
          </cell>
        </row>
        <row r="40">
          <cell r="AY40">
            <v>185699.84955052269</v>
          </cell>
          <cell r="BA40">
            <v>67468.029279270893</v>
          </cell>
        </row>
        <row r="41">
          <cell r="AY41">
            <v>84049.959458718615</v>
          </cell>
          <cell r="BA41">
            <v>105194.24146173382</v>
          </cell>
        </row>
        <row r="42">
          <cell r="AY42">
            <v>654272.13560406596</v>
          </cell>
          <cell r="BA42">
            <v>139252.50228767644</v>
          </cell>
        </row>
        <row r="43">
          <cell r="AY43">
            <v>73996.11816041627</v>
          </cell>
          <cell r="BA43">
            <v>31499.028519605377</v>
          </cell>
        </row>
        <row r="44">
          <cell r="AY44">
            <v>46286.09823844894</v>
          </cell>
          <cell r="BA44">
            <v>18002.299598142279</v>
          </cell>
        </row>
        <row r="45">
          <cell r="AY45">
            <v>0</v>
          </cell>
          <cell r="BA45">
            <v>0</v>
          </cell>
        </row>
        <row r="46">
          <cell r="AY46">
            <v>13130.481296328191</v>
          </cell>
          <cell r="BA46">
            <v>1335.7411076768572</v>
          </cell>
        </row>
        <row r="47">
          <cell r="AY47">
            <v>110007.08447338875</v>
          </cell>
          <cell r="BA47">
            <v>24288.889177408422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405691791</v>
          </cell>
        </row>
      </sheetData>
      <sheetData sheetId="3">
        <row r="17">
          <cell r="L17">
            <v>70090941.942462042</v>
          </cell>
        </row>
        <row r="18">
          <cell r="L18">
            <v>192775941.85048202</v>
          </cell>
        </row>
        <row r="19">
          <cell r="L19">
            <v>59513146.958304122</v>
          </cell>
        </row>
        <row r="20">
          <cell r="L20">
            <v>6691457.4057197794</v>
          </cell>
        </row>
        <row r="21">
          <cell r="L21">
            <v>2826319.526477308</v>
          </cell>
        </row>
        <row r="22">
          <cell r="L22">
            <v>22503287.076870386</v>
          </cell>
        </row>
        <row r="23">
          <cell r="L23">
            <v>3524622.3466423103</v>
          </cell>
        </row>
        <row r="24">
          <cell r="L24">
            <v>3890133.7544961721</v>
          </cell>
        </row>
        <row r="25">
          <cell r="L25">
            <v>22942234.582649939</v>
          </cell>
        </row>
        <row r="29">
          <cell r="L29">
            <v>48898454.638456665</v>
          </cell>
        </row>
        <row r="33">
          <cell r="L33">
            <v>603987707.98240387</v>
          </cell>
        </row>
        <row r="34">
          <cell r="L34">
            <v>91446026.775374755</v>
          </cell>
        </row>
        <row r="35">
          <cell r="L35">
            <v>44360247.772123113</v>
          </cell>
        </row>
        <row r="36">
          <cell r="L36">
            <v>36832779.84911985</v>
          </cell>
        </row>
        <row r="37">
          <cell r="L37">
            <v>25510383.895478003</v>
          </cell>
        </row>
        <row r="40">
          <cell r="L40">
            <v>1101174.3986767353</v>
          </cell>
        </row>
        <row r="41">
          <cell r="L41">
            <v>407198.7427011347</v>
          </cell>
        </row>
        <row r="42">
          <cell r="L42">
            <v>2529620.9262659797</v>
          </cell>
        </row>
        <row r="43">
          <cell r="L43">
            <v>160025.1174632464</v>
          </cell>
        </row>
        <row r="44">
          <cell r="L44">
            <v>436337.10996400047</v>
          </cell>
        </row>
        <row r="46">
          <cell r="L46">
            <v>127438.78791426226</v>
          </cell>
        </row>
        <row r="47">
          <cell r="L47">
            <v>210134.90254769687</v>
          </cell>
        </row>
        <row r="50">
          <cell r="L50">
            <v>340000</v>
          </cell>
        </row>
        <row r="51">
          <cell r="L51">
            <v>100000</v>
          </cell>
        </row>
        <row r="53">
          <cell r="L53">
            <v>22278257</v>
          </cell>
        </row>
        <row r="54">
          <cell r="L54">
            <v>2600000</v>
          </cell>
        </row>
        <row r="55">
          <cell r="L55">
            <v>9050000</v>
          </cell>
        </row>
        <row r="56">
          <cell r="L56">
            <v>3439751</v>
          </cell>
        </row>
        <row r="57">
          <cell r="L57">
            <v>3400000</v>
          </cell>
        </row>
        <row r="58">
          <cell r="L58">
            <v>4360000</v>
          </cell>
        </row>
        <row r="59">
          <cell r="L59">
            <v>350000</v>
          </cell>
        </row>
        <row r="60">
          <cell r="L60">
            <v>0</v>
          </cell>
        </row>
      </sheetData>
      <sheetData sheetId="4"/>
      <sheetData sheetId="5">
        <row r="13">
          <cell r="G13">
            <v>3950</v>
          </cell>
        </row>
      </sheetData>
      <sheetData sheetId="6">
        <row r="6">
          <cell r="E6">
            <v>39277000</v>
          </cell>
        </row>
        <row r="7">
          <cell r="E7">
            <v>14409850</v>
          </cell>
        </row>
        <row r="8">
          <cell r="E8">
            <v>0</v>
          </cell>
        </row>
        <row r="10">
          <cell r="E10">
            <v>2663139.92</v>
          </cell>
        </row>
        <row r="11">
          <cell r="E11">
            <v>830949.38</v>
          </cell>
        </row>
        <row r="12">
          <cell r="E12">
            <v>0</v>
          </cell>
        </row>
        <row r="13">
          <cell r="E13">
            <v>866037.19</v>
          </cell>
        </row>
        <row r="15">
          <cell r="E15">
            <v>12764912.34</v>
          </cell>
        </row>
        <row r="16">
          <cell r="E16">
            <v>89914803.5</v>
          </cell>
        </row>
        <row r="17">
          <cell r="E17">
            <v>20490499.18</v>
          </cell>
        </row>
        <row r="18">
          <cell r="E18">
            <v>1022760.3</v>
          </cell>
        </row>
        <row r="19">
          <cell r="E19">
            <v>395303</v>
          </cell>
        </row>
        <row r="20">
          <cell r="E20">
            <v>387238.28</v>
          </cell>
        </row>
        <row r="21">
          <cell r="E21">
            <v>1455949.28</v>
          </cell>
        </row>
        <row r="22">
          <cell r="E22">
            <v>344503.11</v>
          </cell>
        </row>
        <row r="23">
          <cell r="E23">
            <v>463374.79</v>
          </cell>
        </row>
        <row r="24">
          <cell r="E24">
            <v>5733196.1600000001</v>
          </cell>
        </row>
        <row r="29">
          <cell r="E29">
            <v>16771173.550000001</v>
          </cell>
        </row>
        <row r="34">
          <cell r="E34">
            <v>75398063.890000001</v>
          </cell>
        </row>
        <row r="35">
          <cell r="E35">
            <v>13610274.6</v>
          </cell>
        </row>
        <row r="36">
          <cell r="E36">
            <v>6354127.1900000004</v>
          </cell>
        </row>
        <row r="37">
          <cell r="E37">
            <v>8715120.2699999996</v>
          </cell>
        </row>
        <row r="38">
          <cell r="E38">
            <v>1927012.2</v>
          </cell>
        </row>
        <row r="40">
          <cell r="E40">
            <v>92540.12</v>
          </cell>
        </row>
        <row r="41">
          <cell r="E41">
            <v>114410.79</v>
          </cell>
        </row>
        <row r="42">
          <cell r="E42">
            <v>512869.95</v>
          </cell>
        </row>
        <row r="43">
          <cell r="E43">
            <v>115323.01</v>
          </cell>
        </row>
        <row r="44">
          <cell r="E44">
            <v>20534.900000000001</v>
          </cell>
        </row>
        <row r="45">
          <cell r="E45">
            <v>0</v>
          </cell>
        </row>
        <row r="46">
          <cell r="E46">
            <v>14743.19</v>
          </cell>
        </row>
        <row r="47">
          <cell r="E47">
            <v>10248.59</v>
          </cell>
        </row>
        <row r="52">
          <cell r="E52">
            <v>150150</v>
          </cell>
        </row>
        <row r="53">
          <cell r="E53">
            <v>721733.25</v>
          </cell>
        </row>
        <row r="54">
          <cell r="E54">
            <v>567158.63</v>
          </cell>
        </row>
        <row r="55">
          <cell r="E55">
            <v>297547.83</v>
          </cell>
        </row>
        <row r="56">
          <cell r="E56">
            <v>0</v>
          </cell>
        </row>
        <row r="57">
          <cell r="E57">
            <v>359104.22</v>
          </cell>
        </row>
      </sheetData>
      <sheetData sheetId="7">
        <row r="6">
          <cell r="T6">
            <v>405691791</v>
          </cell>
        </row>
      </sheetData>
      <sheetData sheetId="8">
        <row r="7">
          <cell r="J7">
            <v>405691791</v>
          </cell>
        </row>
      </sheetData>
      <sheetData sheetId="9">
        <row r="6">
          <cell r="S6">
            <v>39277000</v>
          </cell>
        </row>
        <row r="51">
          <cell r="S51">
            <v>5463.6</v>
          </cell>
        </row>
        <row r="52">
          <cell r="S52">
            <v>8518.44</v>
          </cell>
        </row>
        <row r="53">
          <cell r="S53">
            <v>0</v>
          </cell>
        </row>
        <row r="54">
          <cell r="S54">
            <v>4638938.5599999996</v>
          </cell>
        </row>
        <row r="55">
          <cell r="S55">
            <v>3985623.9</v>
          </cell>
        </row>
        <row r="56">
          <cell r="S56">
            <v>902621.63</v>
          </cell>
        </row>
        <row r="57">
          <cell r="S57">
            <v>697754.94</v>
          </cell>
        </row>
        <row r="58">
          <cell r="S58">
            <v>300000</v>
          </cell>
        </row>
        <row r="59">
          <cell r="S59">
            <v>2512539</v>
          </cell>
        </row>
        <row r="60">
          <cell r="S60">
            <v>90000</v>
          </cell>
        </row>
        <row r="61">
          <cell r="S61"/>
        </row>
        <row r="73">
          <cell r="S73">
            <v>0</v>
          </cell>
        </row>
        <row r="74">
          <cell r="S74">
            <v>2070349.03</v>
          </cell>
        </row>
        <row r="75">
          <cell r="S75">
            <v>0</v>
          </cell>
        </row>
      </sheetData>
      <sheetData sheetId="10">
        <row r="27">
          <cell r="B27">
            <v>385079.73</v>
          </cell>
        </row>
      </sheetData>
      <sheetData sheetId="11">
        <row r="62">
          <cell r="M62">
            <v>3939026.87</v>
          </cell>
        </row>
      </sheetData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459619791</v>
          </cell>
        </row>
      </sheetData>
      <sheetData sheetId="3">
        <row r="17">
          <cell r="L17">
            <v>81114402.842792079</v>
          </cell>
        </row>
      </sheetData>
      <sheetData sheetId="4"/>
      <sheetData sheetId="5">
        <row r="13">
          <cell r="E13">
            <v>386481.11</v>
          </cell>
        </row>
      </sheetData>
      <sheetData sheetId="6">
        <row r="6">
          <cell r="E6">
            <v>53928000</v>
          </cell>
        </row>
        <row r="7">
          <cell r="E7">
            <v>43229548</v>
          </cell>
        </row>
        <row r="8">
          <cell r="E8">
            <v>0</v>
          </cell>
        </row>
        <row r="10">
          <cell r="E10">
            <v>3618660.79</v>
          </cell>
        </row>
        <row r="11">
          <cell r="E11">
            <v>560547.52</v>
          </cell>
        </row>
        <row r="12">
          <cell r="E12">
            <v>0</v>
          </cell>
        </row>
        <row r="13">
          <cell r="E13">
            <v>818219.11</v>
          </cell>
        </row>
        <row r="15">
          <cell r="E15">
            <v>19480320.550000001</v>
          </cell>
        </row>
        <row r="16">
          <cell r="E16">
            <v>2139155.4</v>
          </cell>
        </row>
        <row r="17">
          <cell r="E17">
            <v>5761450.9800000004</v>
          </cell>
        </row>
        <row r="18">
          <cell r="E18">
            <v>239758.8</v>
          </cell>
        </row>
        <row r="19">
          <cell r="E19">
            <v>392525</v>
          </cell>
        </row>
        <row r="20">
          <cell r="E20">
            <v>474395.45</v>
          </cell>
        </row>
        <row r="21">
          <cell r="E21">
            <v>751057.98</v>
          </cell>
        </row>
        <row r="22">
          <cell r="E22">
            <v>329226.14</v>
          </cell>
        </row>
        <row r="23">
          <cell r="E23">
            <v>708683.49</v>
          </cell>
        </row>
        <row r="24">
          <cell r="E24">
            <v>4516895.33</v>
          </cell>
        </row>
        <row r="29">
          <cell r="E29">
            <v>7478359.4500000002</v>
          </cell>
        </row>
        <row r="34">
          <cell r="E34">
            <v>79184070.260000005</v>
          </cell>
        </row>
        <row r="35">
          <cell r="E35">
            <v>16774498.880000001</v>
          </cell>
        </row>
        <row r="36">
          <cell r="E36">
            <v>7232715.3600000003</v>
          </cell>
        </row>
        <row r="37">
          <cell r="E37">
            <v>3092196.71</v>
          </cell>
        </row>
        <row r="38">
          <cell r="E38">
            <v>2236385.64</v>
          </cell>
        </row>
        <row r="40">
          <cell r="E40">
            <v>150620.46</v>
          </cell>
        </row>
        <row r="41">
          <cell r="E41">
            <v>134863.24</v>
          </cell>
        </row>
        <row r="42">
          <cell r="E42">
            <v>292998.55</v>
          </cell>
        </row>
        <row r="43">
          <cell r="E43">
            <v>160304.45000000001</v>
          </cell>
        </row>
        <row r="44">
          <cell r="E44">
            <v>17564.490000000002</v>
          </cell>
        </row>
        <row r="45">
          <cell r="E45">
            <v>0</v>
          </cell>
        </row>
        <row r="46">
          <cell r="E46">
            <v>7956.02</v>
          </cell>
        </row>
        <row r="47">
          <cell r="E47">
            <v>25691.02</v>
          </cell>
        </row>
        <row r="52">
          <cell r="E52">
            <v>25200</v>
          </cell>
        </row>
        <row r="53">
          <cell r="E53">
            <v>872655.61</v>
          </cell>
        </row>
        <row r="54">
          <cell r="E54">
            <v>693160.48</v>
          </cell>
        </row>
        <row r="55">
          <cell r="E55">
            <v>150934.65</v>
          </cell>
        </row>
        <row r="56">
          <cell r="E56">
            <v>0</v>
          </cell>
        </row>
        <row r="57">
          <cell r="E57">
            <v>163817.35999999999</v>
          </cell>
        </row>
      </sheetData>
      <sheetData sheetId="7">
        <row r="6">
          <cell r="V6">
            <v>459619791</v>
          </cell>
        </row>
      </sheetData>
      <sheetData sheetId="8">
        <row r="7">
          <cell r="J7">
            <v>459619791</v>
          </cell>
        </row>
      </sheetData>
      <sheetData sheetId="9">
        <row r="6">
          <cell r="U6">
            <v>53928000</v>
          </cell>
        </row>
        <row r="51">
          <cell r="U51">
            <v>0</v>
          </cell>
        </row>
        <row r="52">
          <cell r="U52">
            <v>16876.5</v>
          </cell>
        </row>
        <row r="53">
          <cell r="U53">
            <v>0</v>
          </cell>
        </row>
        <row r="54">
          <cell r="U54">
            <v>952432.27</v>
          </cell>
        </row>
        <row r="55">
          <cell r="U55">
            <v>23414.12</v>
          </cell>
        </row>
        <row r="56">
          <cell r="U56">
            <v>1084824.3400000001</v>
          </cell>
        </row>
        <row r="57">
          <cell r="U57">
            <v>1036997.51</v>
          </cell>
        </row>
        <row r="58">
          <cell r="U58">
            <v>0</v>
          </cell>
        </row>
        <row r="59">
          <cell r="U59">
            <v>553371.66</v>
          </cell>
        </row>
        <row r="60">
          <cell r="U60">
            <v>24000</v>
          </cell>
        </row>
        <row r="61">
          <cell r="U61">
            <v>0</v>
          </cell>
        </row>
        <row r="73">
          <cell r="U73">
            <v>0</v>
          </cell>
        </row>
        <row r="74">
          <cell r="U74">
            <v>3605435.07</v>
          </cell>
        </row>
        <row r="75">
          <cell r="U75">
            <v>0</v>
          </cell>
        </row>
      </sheetData>
      <sheetData sheetId="10">
        <row r="27">
          <cell r="B27">
            <v>386481.11</v>
          </cell>
        </row>
      </sheetData>
      <sheetData sheetId="11">
        <row r="62">
          <cell r="M62">
            <v>5116115.45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="130" workbookViewId="0">
      <selection activeCell="C20" sqref="C20"/>
    </sheetView>
  </sheetViews>
  <sheetFormatPr baseColWidth="10" defaultRowHeight="12.75" x14ac:dyDescent="0.2"/>
  <cols>
    <col min="1" max="1" width="1.7109375" style="47" customWidth="1"/>
    <col min="2" max="2" width="2" style="48" customWidth="1"/>
    <col min="3" max="3" width="29.140625" style="48" customWidth="1"/>
    <col min="4" max="4" width="0.140625" style="48" hidden="1" customWidth="1"/>
    <col min="5" max="5" width="16" style="48" hidden="1" customWidth="1"/>
    <col min="6" max="6" width="13" style="48" hidden="1" customWidth="1"/>
    <col min="7" max="7" width="0.42578125" style="48" hidden="1" customWidth="1"/>
    <col min="8" max="9" width="14.5703125" style="48" hidden="1" customWidth="1"/>
    <col min="10" max="10" width="14.5703125" style="49" hidden="1" customWidth="1"/>
    <col min="11" max="11" width="0.5703125" style="4" hidden="1" customWidth="1"/>
    <col min="12" max="12" width="13.5703125" style="4" customWidth="1"/>
    <col min="13" max="13" width="15.140625" style="4" bestFit="1" customWidth="1"/>
    <col min="14" max="14" width="14.7109375" style="4" customWidth="1"/>
    <col min="15" max="16384" width="11.42578125" style="4"/>
  </cols>
  <sheetData>
    <row r="1" spans="1:14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6.5" thickBo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3.5" thickBot="1" x14ac:dyDescent="0.25">
      <c r="A4" s="8"/>
      <c r="B4" s="9"/>
      <c r="C4" s="9"/>
      <c r="D4" s="10"/>
      <c r="E4" s="10"/>
      <c r="F4" s="11"/>
      <c r="G4" s="12"/>
      <c r="H4" s="13"/>
      <c r="I4" s="14"/>
      <c r="J4" s="15"/>
      <c r="K4" s="16"/>
      <c r="L4" s="10"/>
      <c r="M4" s="10"/>
      <c r="N4" s="11"/>
    </row>
    <row r="5" spans="1:14" ht="16.5" thickBot="1" x14ac:dyDescent="0.3">
      <c r="A5" s="17"/>
      <c r="B5" s="18"/>
      <c r="C5" s="19"/>
      <c r="D5" s="20" t="s">
        <v>3</v>
      </c>
      <c r="E5" s="21"/>
      <c r="F5" s="22"/>
      <c r="G5" s="23">
        <v>0</v>
      </c>
      <c r="H5" s="24" t="s">
        <v>4</v>
      </c>
      <c r="I5" s="25"/>
      <c r="J5" s="26"/>
      <c r="K5" s="27"/>
      <c r="L5" s="20" t="s">
        <v>5</v>
      </c>
      <c r="M5" s="21"/>
      <c r="N5" s="22"/>
    </row>
    <row r="6" spans="1:14" x14ac:dyDescent="0.2">
      <c r="A6" s="28"/>
      <c r="B6" s="29"/>
      <c r="C6" s="30"/>
      <c r="D6" s="31" t="s">
        <v>6</v>
      </c>
      <c r="E6" s="32" t="s">
        <v>7</v>
      </c>
      <c r="F6" s="33" t="s">
        <v>8</v>
      </c>
      <c r="G6" s="34"/>
      <c r="H6" s="35" t="s">
        <v>6</v>
      </c>
      <c r="I6" s="32" t="s">
        <v>7</v>
      </c>
      <c r="J6" s="36" t="s">
        <v>8</v>
      </c>
      <c r="K6" s="37"/>
      <c r="L6" s="31" t="s">
        <v>6</v>
      </c>
      <c r="M6" s="32" t="s">
        <v>7</v>
      </c>
      <c r="N6" s="36" t="s">
        <v>8</v>
      </c>
    </row>
    <row r="7" spans="1:14" x14ac:dyDescent="0.2">
      <c r="A7" s="38" t="s">
        <v>9</v>
      </c>
      <c r="B7" s="39"/>
      <c r="C7" s="40"/>
      <c r="D7" s="41"/>
      <c r="E7" s="42"/>
      <c r="F7" s="43"/>
      <c r="G7" s="44"/>
      <c r="H7" s="45"/>
      <c r="I7" s="42"/>
      <c r="J7" s="46"/>
      <c r="K7" s="37"/>
      <c r="L7" s="41"/>
      <c r="M7" s="42"/>
      <c r="N7" s="46"/>
    </row>
    <row r="8" spans="1:14" x14ac:dyDescent="0.2">
      <c r="A8" s="47" t="s">
        <v>10</v>
      </c>
      <c r="C8" s="49"/>
      <c r="D8" s="50">
        <f>+E8+6936000+6936000+1147000</f>
        <v>56922000</v>
      </c>
      <c r="E8" s="51">
        <f>SUM([1]rdo!E6)</f>
        <v>41903000</v>
      </c>
      <c r="F8" s="52">
        <f t="shared" ref="F8:F25" si="0">+D8-E8</f>
        <v>15019000</v>
      </c>
      <c r="G8" s="44"/>
      <c r="H8" s="53">
        <f>SUM(D8+[2]Hoja1!$I$8)</f>
        <v>364482118</v>
      </c>
      <c r="I8" s="51">
        <f>SUM(E8+[2]Hoja1!$J$8)</f>
        <v>41903000</v>
      </c>
      <c r="J8" s="54">
        <f>SUM(H8-I8)</f>
        <v>322579118</v>
      </c>
      <c r="K8" s="37"/>
      <c r="L8" s="50">
        <f>+M8+6936000+6936000+1147000</f>
        <v>381433791</v>
      </c>
      <c r="M8" s="51">
        <f>+[1]RDOACUM!R6</f>
        <v>366414791</v>
      </c>
      <c r="N8" s="52">
        <f t="shared" ref="N8:N18" si="1">SUM(L8-M8)</f>
        <v>15019000</v>
      </c>
    </row>
    <row r="9" spans="1:14" x14ac:dyDescent="0.2">
      <c r="A9" s="47" t="s">
        <v>11</v>
      </c>
      <c r="C9" s="49"/>
      <c r="D9" s="41">
        <f>+E9</f>
        <v>28819699</v>
      </c>
      <c r="E9" s="51">
        <f>SUM([1]rdo!E7)</f>
        <v>28819699</v>
      </c>
      <c r="F9" s="52">
        <f t="shared" si="0"/>
        <v>0</v>
      </c>
      <c r="G9" s="44"/>
      <c r="H9" s="55">
        <f>SUM(D9+[2]Hoja1!$I$9)</f>
        <v>238700780</v>
      </c>
      <c r="I9" s="42">
        <f>SUM(E9+[2]Hoja1!$J$9)</f>
        <v>28819699</v>
      </c>
      <c r="J9" s="56">
        <f>SUM(H9-I9)</f>
        <v>209881081</v>
      </c>
      <c r="K9" s="37"/>
      <c r="L9" s="41">
        <f>+M9</f>
        <v>230557593</v>
      </c>
      <c r="M9" s="42">
        <f>+[1]RDOACUM!R7</f>
        <v>230557593</v>
      </c>
      <c r="N9" s="52">
        <v>0</v>
      </c>
    </row>
    <row r="10" spans="1:14" x14ac:dyDescent="0.2">
      <c r="A10" s="47" t="s">
        <v>12</v>
      </c>
      <c r="C10" s="49"/>
      <c r="D10" s="41">
        <f>+E10</f>
        <v>0</v>
      </c>
      <c r="E10" s="42">
        <f>SUM([1]rdo!E8)</f>
        <v>0</v>
      </c>
      <c r="F10" s="52">
        <f t="shared" si="0"/>
        <v>0</v>
      </c>
      <c r="G10" s="44"/>
      <c r="H10" s="55"/>
      <c r="I10" s="42"/>
      <c r="J10" s="56"/>
      <c r="K10" s="37"/>
      <c r="L10" s="41">
        <f>+M10</f>
        <v>0</v>
      </c>
      <c r="M10" s="42">
        <f>+[1]RDOACUM!R8</f>
        <v>0</v>
      </c>
      <c r="N10" s="52">
        <f t="shared" si="1"/>
        <v>0</v>
      </c>
    </row>
    <row r="11" spans="1:14" x14ac:dyDescent="0.2">
      <c r="B11" s="29" t="s">
        <v>13</v>
      </c>
      <c r="C11" s="49"/>
      <c r="D11" s="57">
        <f>SUM(D8:D10)</f>
        <v>85741699</v>
      </c>
      <c r="E11" s="58">
        <f>SUM(E8:E10)</f>
        <v>70722699</v>
      </c>
      <c r="F11" s="59">
        <f t="shared" si="0"/>
        <v>15019000</v>
      </c>
      <c r="G11" s="60"/>
      <c r="H11" s="61">
        <f>SUM(H8:H9)</f>
        <v>603182898</v>
      </c>
      <c r="I11" s="58">
        <f>SUM(I8:I9)</f>
        <v>70722699</v>
      </c>
      <c r="J11" s="62">
        <f>SUM(J8:J9)</f>
        <v>532460199</v>
      </c>
      <c r="K11" s="37"/>
      <c r="L11" s="57">
        <f>SUM(L8:L10)</f>
        <v>611991384</v>
      </c>
      <c r="M11" s="57">
        <f>+M8+M9+M10</f>
        <v>596972384</v>
      </c>
      <c r="N11" s="59">
        <f t="shared" si="1"/>
        <v>15019000</v>
      </c>
    </row>
    <row r="12" spans="1:14" x14ac:dyDescent="0.2">
      <c r="A12" s="47" t="s">
        <v>14</v>
      </c>
      <c r="C12" s="49"/>
      <c r="D12" s="50">
        <f>+E12</f>
        <v>4256312.51</v>
      </c>
      <c r="E12" s="51">
        <f>SUM([1]rdo!E10)</f>
        <v>4256312.51</v>
      </c>
      <c r="F12" s="52">
        <f t="shared" si="0"/>
        <v>0</v>
      </c>
      <c r="G12" s="44"/>
      <c r="H12" s="53">
        <f>SUM(D12+[2]Hoja1!$I$11)</f>
        <v>521697511.50999999</v>
      </c>
      <c r="I12" s="51">
        <f>SUM(E12+[2]Hoja1!$J$11)</f>
        <v>4256312.51</v>
      </c>
      <c r="J12" s="54">
        <f t="shared" ref="J12:J25" si="2">SUM(H12-I12)</f>
        <v>517441199</v>
      </c>
      <c r="K12" s="37"/>
      <c r="L12" s="50">
        <f>+M12</f>
        <v>21698197.02</v>
      </c>
      <c r="M12" s="51">
        <f>+[1]RDOACUM!R10</f>
        <v>21698197.02</v>
      </c>
      <c r="N12" s="52">
        <f t="shared" si="1"/>
        <v>0</v>
      </c>
    </row>
    <row r="13" spans="1:14" x14ac:dyDescent="0.2">
      <c r="A13" s="47" t="s">
        <v>15</v>
      </c>
      <c r="C13" s="49"/>
      <c r="D13" s="41">
        <f>+E13</f>
        <v>501263.05</v>
      </c>
      <c r="E13" s="42">
        <f>SUM([1]rdo!E11)</f>
        <v>501263.05</v>
      </c>
      <c r="F13" s="52">
        <f t="shared" si="0"/>
        <v>0</v>
      </c>
      <c r="G13" s="44"/>
      <c r="H13" s="55">
        <f>SUM(D13+[2]Hoja1!$I$12)</f>
        <v>33208007.190000001</v>
      </c>
      <c r="I13" s="42">
        <f>SUM(E13+[2]Hoja1!$J$12)</f>
        <v>501420.05</v>
      </c>
      <c r="J13" s="56">
        <f t="shared" si="2"/>
        <v>32706587.140000001</v>
      </c>
      <c r="K13" s="37"/>
      <c r="L13" s="41">
        <f>+M13</f>
        <v>5581055.120000001</v>
      </c>
      <c r="M13" s="42">
        <f>+[1]RDOACUM!R11</f>
        <v>5581055.120000001</v>
      </c>
      <c r="N13" s="52">
        <f t="shared" si="1"/>
        <v>0</v>
      </c>
    </row>
    <row r="14" spans="1:14" x14ac:dyDescent="0.2">
      <c r="A14" s="47" t="s">
        <v>16</v>
      </c>
      <c r="C14" s="49"/>
      <c r="D14" s="63">
        <f>+E14</f>
        <v>0</v>
      </c>
      <c r="E14" s="64">
        <f>SUM([1]rdo!E12)</f>
        <v>0</v>
      </c>
      <c r="F14" s="52">
        <f t="shared" si="0"/>
        <v>0</v>
      </c>
      <c r="G14" s="44"/>
      <c r="H14" s="55">
        <f>SUM(D14+[2]Hoja1!$I$13)</f>
        <v>10243264.48</v>
      </c>
      <c r="I14" s="42">
        <f>SUM(E14+[2]Hoja1!$J$13)</f>
        <v>228</v>
      </c>
      <c r="J14" s="56">
        <f t="shared" si="2"/>
        <v>10243036.48</v>
      </c>
      <c r="K14" s="37"/>
      <c r="L14" s="41">
        <f>+M14</f>
        <v>0</v>
      </c>
      <c r="M14" s="42">
        <f>+[1]RDOACUM!R12</f>
        <v>0</v>
      </c>
      <c r="N14" s="52">
        <f t="shared" si="1"/>
        <v>0</v>
      </c>
    </row>
    <row r="15" spans="1:14" x14ac:dyDescent="0.2">
      <c r="A15" s="47" t="s">
        <v>17</v>
      </c>
      <c r="C15" s="49"/>
      <c r="D15" s="41">
        <f>+E15</f>
        <v>5927680</v>
      </c>
      <c r="E15" s="42">
        <f>SUM([1]rdo!E13)</f>
        <v>5927680</v>
      </c>
      <c r="F15" s="52">
        <f t="shared" si="0"/>
        <v>0</v>
      </c>
      <c r="G15" s="44"/>
      <c r="H15" s="55">
        <f>SUM(D15+[2]Hoja1!$I$14)</f>
        <v>58436727.629999995</v>
      </c>
      <c r="I15" s="42">
        <f>SUM(E15+[2]Hoja1!$J$14)</f>
        <v>5927741</v>
      </c>
      <c r="J15" s="56">
        <f t="shared" si="2"/>
        <v>52508986.629999995</v>
      </c>
      <c r="K15" s="37"/>
      <c r="L15" s="41">
        <f>+M15</f>
        <v>13938463.42</v>
      </c>
      <c r="M15" s="42">
        <f>+[1]RDOACUM!R13</f>
        <v>13938463.42</v>
      </c>
      <c r="N15" s="52">
        <f t="shared" si="1"/>
        <v>0</v>
      </c>
    </row>
    <row r="16" spans="1:14" x14ac:dyDescent="0.2">
      <c r="B16" s="29" t="s">
        <v>18</v>
      </c>
      <c r="C16" s="49"/>
      <c r="D16" s="57">
        <f>SUM(D12:D15)</f>
        <v>10685255.559999999</v>
      </c>
      <c r="E16" s="58">
        <f>SUM(E12:E15)</f>
        <v>10685255.559999999</v>
      </c>
      <c r="F16" s="59">
        <f t="shared" si="0"/>
        <v>0</v>
      </c>
      <c r="G16" s="60"/>
      <c r="H16" s="61">
        <f>SUM(H12:H15)</f>
        <v>623585510.81000006</v>
      </c>
      <c r="I16" s="58">
        <f>SUM(I12:I15)</f>
        <v>10685701.559999999</v>
      </c>
      <c r="J16" s="62">
        <f>SUM(J12:J15)</f>
        <v>612899809.25</v>
      </c>
      <c r="K16" s="37"/>
      <c r="L16" s="57">
        <f>SUM(L12:L15)</f>
        <v>41217715.560000002</v>
      </c>
      <c r="M16" s="57">
        <f>+M12+M13+M14+M15</f>
        <v>41217715.560000002</v>
      </c>
      <c r="N16" s="59">
        <f t="shared" si="1"/>
        <v>0</v>
      </c>
    </row>
    <row r="17" spans="1:15" x14ac:dyDescent="0.2">
      <c r="A17" s="47" t="s">
        <v>19</v>
      </c>
      <c r="C17" s="49"/>
      <c r="D17" s="50">
        <v>1597810.2212759322</v>
      </c>
      <c r="E17" s="51">
        <v>1171219.19</v>
      </c>
      <c r="F17" s="52">
        <f t="shared" si="0"/>
        <v>426591.03127593221</v>
      </c>
      <c r="G17" s="44"/>
      <c r="H17" s="53">
        <f>SUM(D17+[2]Hoja1!$I$16)</f>
        <v>104558311.89127593</v>
      </c>
      <c r="I17" s="51">
        <f>SUM(E17+[2]Hoja1!$J$16)</f>
        <v>1186180.19</v>
      </c>
      <c r="J17" s="54">
        <f t="shared" si="2"/>
        <v>103372131.70127593</v>
      </c>
      <c r="K17" s="37"/>
      <c r="L17" s="50">
        <f>+D17+[3]COMPRES!$L$17</f>
        <v>50569518.745142616</v>
      </c>
      <c r="M17" s="51">
        <f>+[1]RDOACUM!R15</f>
        <v>48717542.929999992</v>
      </c>
      <c r="N17" s="52">
        <f t="shared" si="1"/>
        <v>1851975.8151426241</v>
      </c>
    </row>
    <row r="18" spans="1:15" x14ac:dyDescent="0.2">
      <c r="A18" s="47" t="s">
        <v>20</v>
      </c>
      <c r="C18" s="49"/>
      <c r="D18" s="65">
        <v>13484141.667572537</v>
      </c>
      <c r="E18" s="42">
        <v>559995</v>
      </c>
      <c r="F18" s="52">
        <f t="shared" si="0"/>
        <v>12924146.667572537</v>
      </c>
      <c r="G18" s="44"/>
      <c r="H18" s="45">
        <f>SUM(D18+[2]Hoja1!$I$17)</f>
        <v>58339644.817572534</v>
      </c>
      <c r="I18" s="42">
        <f>SUM(E18+[2]Hoja1!$J$17)</f>
        <v>-831747.401609689</v>
      </c>
      <c r="J18" s="56">
        <f t="shared" si="2"/>
        <v>59171392.219182223</v>
      </c>
      <c r="K18" s="37"/>
      <c r="L18" s="41">
        <f>+D18+[3]COMPRES!$L$18</f>
        <v>114610651.4853382</v>
      </c>
      <c r="M18" s="42">
        <f>+[1]RDOACUM!R16</f>
        <v>100294127.5</v>
      </c>
      <c r="N18" s="52">
        <f t="shared" si="1"/>
        <v>14316523.985338196</v>
      </c>
    </row>
    <row r="19" spans="1:15" x14ac:dyDescent="0.2">
      <c r="A19" s="47" t="s">
        <v>21</v>
      </c>
      <c r="C19" s="49"/>
      <c r="D19" s="65">
        <v>5711837.2611311981</v>
      </c>
      <c r="E19" s="42">
        <v>3574988.9</v>
      </c>
      <c r="F19" s="52">
        <f t="shared" si="0"/>
        <v>2136848.3611311982</v>
      </c>
      <c r="G19" s="44"/>
      <c r="H19" s="45">
        <f>SUM(D19+[2]Hoja1!$I$18)</f>
        <v>95474289.011131197</v>
      </c>
      <c r="I19" s="42">
        <f>SUM(E19+[2]Hoja1!$J$18)</f>
        <v>3431477.2412165939</v>
      </c>
      <c r="J19" s="56">
        <f t="shared" si="2"/>
        <v>92042811.769914597</v>
      </c>
      <c r="K19" s="37"/>
      <c r="L19" s="41">
        <f>+D19+[3]COMPRES!$L$19</f>
        <v>46762926.239134043</v>
      </c>
      <c r="M19" s="42">
        <f>+[1]RDOACUM!R17+[1]RDOACUM!R18</f>
        <v>43130361.650000006</v>
      </c>
      <c r="N19" s="52">
        <f t="shared" ref="N19:N25" si="3">SUM(L19-M19)</f>
        <v>3632564.5891340375</v>
      </c>
    </row>
    <row r="20" spans="1:15" x14ac:dyDescent="0.2">
      <c r="A20" s="47" t="s">
        <v>22</v>
      </c>
      <c r="C20" s="49"/>
      <c r="D20" s="65">
        <v>205648.92522280361</v>
      </c>
      <c r="E20" s="42">
        <v>219738</v>
      </c>
      <c r="F20" s="52">
        <f t="shared" si="0"/>
        <v>-14089.074777196394</v>
      </c>
      <c r="G20" s="44"/>
      <c r="H20" s="45">
        <f>SUM(D20+[2]Hoja1!$I$20)</f>
        <v>6661737.9252228038</v>
      </c>
      <c r="I20" s="42">
        <f>SUM(E20+[2]Hoja1!$J$20)</f>
        <v>-605134.64402966667</v>
      </c>
      <c r="J20" s="56">
        <f t="shared" si="2"/>
        <v>7266872.5692524705</v>
      </c>
      <c r="K20" s="37"/>
      <c r="L20" s="41">
        <f>+D20+[3]COMPRES!$L$20</f>
        <v>5755986.576384169</v>
      </c>
      <c r="M20" s="42">
        <f>+[1]RDOACUM!R19</f>
        <v>4518136</v>
      </c>
      <c r="N20" s="52">
        <f t="shared" si="3"/>
        <v>1237850.576384169</v>
      </c>
      <c r="O20" s="66"/>
    </row>
    <row r="21" spans="1:15" x14ac:dyDescent="0.2">
      <c r="A21" s="47" t="s">
        <v>23</v>
      </c>
      <c r="C21" s="49"/>
      <c r="D21" s="65">
        <v>88502.406451051735</v>
      </c>
      <c r="E21" s="42">
        <v>214794</v>
      </c>
      <c r="F21" s="52">
        <f t="shared" si="0"/>
        <v>-126291.59354894827</v>
      </c>
      <c r="G21" s="44"/>
      <c r="H21" s="45">
        <f>SUM(D21+[2]Hoja1!$I$21)</f>
        <v>3154992.9064510516</v>
      </c>
      <c r="I21" s="42">
        <f>SUM(E21+[2]Hoja1!$J$21)</f>
        <v>-622371.03425335465</v>
      </c>
      <c r="J21" s="56">
        <f t="shared" si="2"/>
        <v>3777363.9407044062</v>
      </c>
      <c r="K21" s="37"/>
      <c r="L21" s="41">
        <f>+D21+[3]COMPRES!$L$21</f>
        <v>2276859.8848953848</v>
      </c>
      <c r="M21" s="42">
        <f>+[1]RDOACUM!R20</f>
        <v>1202356.68</v>
      </c>
      <c r="N21" s="52">
        <f t="shared" si="3"/>
        <v>1074503.2048953848</v>
      </c>
    </row>
    <row r="22" spans="1:15" x14ac:dyDescent="0.2">
      <c r="A22" s="47" t="s">
        <v>24</v>
      </c>
      <c r="C22" s="49"/>
      <c r="D22" s="65">
        <v>258131.99123624532</v>
      </c>
      <c r="E22" s="42">
        <v>880608.91</v>
      </c>
      <c r="F22" s="52">
        <f t="shared" si="0"/>
        <v>-622476.91876375466</v>
      </c>
      <c r="G22" s="44"/>
      <c r="H22" s="45">
        <f>SUM(D22+[2]Hoja1!$I$22)</f>
        <v>14222078.971236246</v>
      </c>
      <c r="I22" s="42">
        <f>SUM(E22+[2]Hoja1!$J$22)</f>
        <v>6357199.0117196478</v>
      </c>
      <c r="J22" s="56">
        <f t="shared" si="2"/>
        <v>7864879.9595165979</v>
      </c>
      <c r="K22" s="37"/>
      <c r="L22" s="41">
        <f>+D22+[3]COMPRES!$L$22</f>
        <v>22180794.921731487</v>
      </c>
      <c r="M22" s="42">
        <f>+[1]RDOACUM!R21</f>
        <v>22005650.809999999</v>
      </c>
      <c r="N22" s="52">
        <f t="shared" si="3"/>
        <v>175144.11173148826</v>
      </c>
    </row>
    <row r="23" spans="1:15" x14ac:dyDescent="0.2">
      <c r="A23" s="47" t="s">
        <v>25</v>
      </c>
      <c r="C23" s="49"/>
      <c r="D23" s="65">
        <v>288139.39700580377</v>
      </c>
      <c r="E23" s="42">
        <v>223454.66</v>
      </c>
      <c r="F23" s="52">
        <f t="shared" si="0"/>
        <v>64684.737005803763</v>
      </c>
      <c r="G23" s="44"/>
      <c r="H23" s="45">
        <f>SUM(D23+[2]Hoja1!$I$23)</f>
        <v>1516070.1670058039</v>
      </c>
      <c r="I23" s="42">
        <f>SUM(E23+[2]Hoja1!$J$23)</f>
        <v>1407571.9399068642</v>
      </c>
      <c r="J23" s="56">
        <f t="shared" si="2"/>
        <v>108498.22709893971</v>
      </c>
      <c r="K23" s="37"/>
      <c r="L23" s="41">
        <f>+D23+[3]COMPRES!$L$23</f>
        <v>3024152.3344641631</v>
      </c>
      <c r="M23" s="42">
        <f>+[1]RDOACUM!R22</f>
        <v>2280151.5700000003</v>
      </c>
      <c r="N23" s="52">
        <f t="shared" si="3"/>
        <v>744000.76446416276</v>
      </c>
    </row>
    <row r="24" spans="1:15" x14ac:dyDescent="0.2">
      <c r="A24" s="47" t="s">
        <v>26</v>
      </c>
      <c r="C24" s="49"/>
      <c r="D24" s="65">
        <v>379378.20478924492</v>
      </c>
      <c r="E24" s="42">
        <v>292936.42</v>
      </c>
      <c r="F24" s="52">
        <f t="shared" si="0"/>
        <v>86441.784789244935</v>
      </c>
      <c r="G24" s="44"/>
      <c r="H24" s="45">
        <f>SUM(D24+[2]Hoja1!$I$24)</f>
        <v>4972353.9947892446</v>
      </c>
      <c r="I24" s="42">
        <f>SUM(E24+[2]Hoja1!$J$24)</f>
        <v>-932980.74069674686</v>
      </c>
      <c r="J24" s="56">
        <f t="shared" si="2"/>
        <v>5905334.7354859915</v>
      </c>
      <c r="K24" s="37"/>
      <c r="L24" s="41">
        <f>+D24+[3]COMPRES!$L$24</f>
        <v>3400574.6091136942</v>
      </c>
      <c r="M24" s="42">
        <f>+[1]RDOACUM!R23</f>
        <v>3776215.56</v>
      </c>
      <c r="N24" s="52">
        <f t="shared" si="3"/>
        <v>-375640.95088630589</v>
      </c>
    </row>
    <row r="25" spans="1:15" x14ac:dyDescent="0.2">
      <c r="A25" s="47" t="s">
        <v>27</v>
      </c>
      <c r="C25" s="49"/>
      <c r="D25" s="65">
        <v>-2110.4001701286538</v>
      </c>
      <c r="E25" s="42">
        <v>9884292.6099999994</v>
      </c>
      <c r="F25" s="52">
        <f t="shared" si="0"/>
        <v>-9886403.0101701282</v>
      </c>
      <c r="G25" s="44"/>
      <c r="H25" s="67">
        <f>SUM(D25+[2]Hoja1!$I$25)</f>
        <v>20443066.609829873</v>
      </c>
      <c r="I25" s="42">
        <f>SUM(E25+[2]Hoja1!$J$25)</f>
        <v>-3347386.0611730851</v>
      </c>
      <c r="J25" s="56">
        <f t="shared" si="2"/>
        <v>23790452.671002958</v>
      </c>
      <c r="K25" s="37"/>
      <c r="L25" s="41">
        <f>+D25+[3]COMPRES!$L$25</f>
        <v>17783516.001177233</v>
      </c>
      <c r="M25" s="42">
        <f>+[1]RDOACUM!R24</f>
        <v>17420931.91</v>
      </c>
      <c r="N25" s="52">
        <f t="shared" si="3"/>
        <v>362584.09117723256</v>
      </c>
    </row>
    <row r="26" spans="1:15" x14ac:dyDescent="0.2">
      <c r="B26" s="29" t="s">
        <v>28</v>
      </c>
      <c r="C26" s="49"/>
      <c r="D26" s="57">
        <f>SUM(D17:D25)</f>
        <v>22011479.674514685</v>
      </c>
      <c r="E26" s="58">
        <f>SUM(E17:E25)</f>
        <v>17022027.689999998</v>
      </c>
      <c r="F26" s="59">
        <f>+D26-E26</f>
        <v>4989451.9845146872</v>
      </c>
      <c r="G26" s="60"/>
      <c r="H26" s="61">
        <f>SUM(H17:H25)</f>
        <v>309342546.29451466</v>
      </c>
      <c r="I26" s="58">
        <f>SUM(I17:I25)</f>
        <v>6042808.5010805633</v>
      </c>
      <c r="J26" s="62">
        <f>SUM(J17:J25)</f>
        <v>303299737.79343408</v>
      </c>
      <c r="K26" s="37"/>
      <c r="L26" s="57">
        <f>SUM(L17:L25)</f>
        <v>266364980.79738098</v>
      </c>
      <c r="M26" s="58">
        <f>SUM(M17:M25)</f>
        <v>243345474.61000001</v>
      </c>
      <c r="N26" s="68">
        <f>SUM(L26-M26)</f>
        <v>23019506.18738097</v>
      </c>
    </row>
    <row r="27" spans="1:15" x14ac:dyDescent="0.2">
      <c r="C27" s="30" t="s">
        <v>29</v>
      </c>
      <c r="D27" s="69">
        <f>SUM(D26,D16,D11)</f>
        <v>118438434.23451468</v>
      </c>
      <c r="E27" s="70">
        <f>SUM(E26,E16,E11)</f>
        <v>98429982.25</v>
      </c>
      <c r="F27" s="71">
        <f>+D27-E27</f>
        <v>20008451.984514683</v>
      </c>
      <c r="G27" s="72"/>
      <c r="H27" s="73">
        <f>SUM(H26+H16+H11)</f>
        <v>1536110955.1045146</v>
      </c>
      <c r="I27" s="73">
        <f>SUM(I26,I16,I11)</f>
        <v>87451209.06108056</v>
      </c>
      <c r="J27" s="74">
        <f>SUM(J11+J16+J26)</f>
        <v>1448659746.0434341</v>
      </c>
      <c r="K27" s="37"/>
      <c r="L27" s="69">
        <f>SUM(L26,L16,L11)</f>
        <v>919574080.35738099</v>
      </c>
      <c r="M27" s="70">
        <f>SUM(M26,M16,M11)</f>
        <v>881535574.17000008</v>
      </c>
      <c r="N27" s="71">
        <f>SUM(L27-M27)</f>
        <v>38038506.18738091</v>
      </c>
    </row>
    <row r="28" spans="1:15" x14ac:dyDescent="0.2">
      <c r="C28" s="30"/>
      <c r="D28" s="75"/>
      <c r="E28" s="76"/>
      <c r="F28" s="77"/>
      <c r="G28" s="72"/>
      <c r="H28" s="73"/>
      <c r="I28" s="78"/>
      <c r="J28" s="71">
        <v>0</v>
      </c>
      <c r="K28" s="37"/>
      <c r="L28" s="75"/>
      <c r="M28" s="76"/>
      <c r="N28" s="77"/>
    </row>
    <row r="29" spans="1:15" x14ac:dyDescent="0.2">
      <c r="B29" s="48" t="s">
        <v>30</v>
      </c>
      <c r="C29" s="30"/>
      <c r="D29" s="79">
        <f>+[4]Hoja1!$AW$28</f>
        <v>1143260.9414571745</v>
      </c>
      <c r="E29" s="80">
        <f>SUM([1]rdo!E29)</f>
        <v>608400.75</v>
      </c>
      <c r="F29" s="81">
        <f>+D29-E29</f>
        <v>534860.19145717449</v>
      </c>
      <c r="G29" s="72"/>
      <c r="H29" s="55">
        <f>SUM(D29+[2]Hoja1!$I$29)</f>
        <v>21757113.071457174</v>
      </c>
      <c r="I29" s="42">
        <f>SUM(E29+[2]Hoja1!$J$29)</f>
        <v>-753798.78201054782</v>
      </c>
      <c r="J29" s="82">
        <f>SUM(H29-I29)</f>
        <v>22510911.853467721</v>
      </c>
      <c r="K29" s="37"/>
      <c r="L29" s="83">
        <f>+D29+[3]COMPRES!$L$29</f>
        <v>30931064.068750888</v>
      </c>
      <c r="M29" s="80">
        <f>+[1]RDOACUM!R29</f>
        <v>29550218.600000001</v>
      </c>
      <c r="N29" s="81">
        <f>SUM(L29-M29)</f>
        <v>1380845.4687508866</v>
      </c>
    </row>
    <row r="30" spans="1:15" x14ac:dyDescent="0.2">
      <c r="C30" s="30" t="s">
        <v>31</v>
      </c>
      <c r="D30" s="69">
        <f>SUM(D27-D29)</f>
        <v>117295173.29305752</v>
      </c>
      <c r="E30" s="70">
        <f>SUM(E27-E29)</f>
        <v>97821581.5</v>
      </c>
      <c r="F30" s="71">
        <f>SUM(F27-F29)</f>
        <v>19473591.793057509</v>
      </c>
      <c r="G30" s="72"/>
      <c r="H30" s="73">
        <f>SUM(H27-H29)</f>
        <v>1514353842.0330575</v>
      </c>
      <c r="I30" s="73">
        <f>SUM(I27-I29)</f>
        <v>88205007.8430911</v>
      </c>
      <c r="J30" s="74">
        <f>SUM(J27-J29)</f>
        <v>1426148834.1899664</v>
      </c>
      <c r="K30" s="37"/>
      <c r="L30" s="69">
        <f>SUM(L27-L29)</f>
        <v>888643016.28863013</v>
      </c>
      <c r="M30" s="70">
        <f>SUM(M27-M29)</f>
        <v>851985355.57000005</v>
      </c>
      <c r="N30" s="71">
        <f>+L30-M30</f>
        <v>36657660.718630075</v>
      </c>
    </row>
    <row r="31" spans="1:15" x14ac:dyDescent="0.2">
      <c r="A31" s="84" t="s">
        <v>32</v>
      </c>
      <c r="C31" s="49"/>
      <c r="D31" s="41"/>
      <c r="E31" s="85"/>
      <c r="F31" s="43"/>
      <c r="G31" s="44"/>
      <c r="H31" s="45"/>
      <c r="I31" s="42"/>
      <c r="J31" s="46"/>
      <c r="K31" s="37"/>
      <c r="L31" s="41"/>
      <c r="M31" s="42"/>
      <c r="N31" s="46"/>
    </row>
    <row r="32" spans="1:15" x14ac:dyDescent="0.2">
      <c r="A32" s="38" t="s">
        <v>33</v>
      </c>
      <c r="B32" s="86"/>
      <c r="C32" s="87"/>
      <c r="D32" s="41"/>
      <c r="E32" s="42"/>
      <c r="F32" s="43"/>
      <c r="G32" s="44"/>
      <c r="H32" s="45"/>
      <c r="I32" s="42"/>
      <c r="J32" s="46"/>
      <c r="K32" s="37"/>
      <c r="L32" s="41"/>
      <c r="M32" s="42"/>
      <c r="N32" s="46"/>
    </row>
    <row r="33" spans="1:14" x14ac:dyDescent="0.2">
      <c r="A33" s="47" t="s">
        <v>34</v>
      </c>
      <c r="C33" s="49"/>
      <c r="D33" s="88">
        <v>65942920.375427455</v>
      </c>
      <c r="E33" s="89">
        <v>76858893.280000001</v>
      </c>
      <c r="F33" s="90">
        <f t="shared" ref="F33:F75" si="4">SUM(D33-E33)</f>
        <v>-10915972.904572546</v>
      </c>
      <c r="G33" s="44"/>
      <c r="H33" s="91">
        <f>SUM(D33+[2]Hoja1!$I$33)</f>
        <v>576845059.18542743</v>
      </c>
      <c r="I33" s="89">
        <f>SUM(E33+[2]Hoja1!$J$33)</f>
        <v>64442701.70027259</v>
      </c>
      <c r="J33" s="92">
        <f t="shared" ref="J33:J75" si="5">SUM(H33-I33)</f>
        <v>512402357.48515487</v>
      </c>
      <c r="K33" s="37"/>
      <c r="L33" s="50">
        <f>+D33+[3]COMPRES!$L$33</f>
        <v>531239633.84724319</v>
      </c>
      <c r="M33" s="51">
        <f>+[1]RDOACUM!R33</f>
        <v>554225277.54999995</v>
      </c>
      <c r="N33" s="92">
        <f t="shared" ref="N33:N46" si="6">SUM(L33-M33)</f>
        <v>-22985643.702756763</v>
      </c>
    </row>
    <row r="34" spans="1:14" x14ac:dyDescent="0.2">
      <c r="A34" s="47" t="s">
        <v>35</v>
      </c>
      <c r="C34" s="49"/>
      <c r="D34" s="93">
        <v>7375802.82363181</v>
      </c>
      <c r="E34" s="42">
        <v>8726113.1799999997</v>
      </c>
      <c r="F34" s="94">
        <f t="shared" si="4"/>
        <v>-1350310.3563681897</v>
      </c>
      <c r="G34" s="44"/>
      <c r="H34" s="45">
        <f>SUM(D34+[2]Hoja1!$I$34)</f>
        <v>81225392.573631808</v>
      </c>
      <c r="I34" s="42">
        <f>SUM(E34+[2]Hoja1!$J$34)</f>
        <v>-799216.22059785575</v>
      </c>
      <c r="J34" s="56">
        <f t="shared" si="5"/>
        <v>82024608.794229656</v>
      </c>
      <c r="K34" s="37"/>
      <c r="L34" s="41">
        <f>+D34+[3]COMPRES!$L$34</f>
        <v>80718579.667346045</v>
      </c>
      <c r="M34" s="42">
        <f>+[1]IYE!S35</f>
        <v>79818708.13000001</v>
      </c>
      <c r="N34" s="56">
        <f t="shared" si="6"/>
        <v>899871.53734603524</v>
      </c>
    </row>
    <row r="35" spans="1:14" x14ac:dyDescent="0.2">
      <c r="A35" s="47" t="s">
        <v>36</v>
      </c>
      <c r="C35" s="49"/>
      <c r="D35" s="93">
        <v>1365057.7918372371</v>
      </c>
      <c r="E35" s="42">
        <v>2643952.86</v>
      </c>
      <c r="F35" s="94">
        <f t="shared" si="4"/>
        <v>-1278895.0681627628</v>
      </c>
      <c r="G35" s="44"/>
      <c r="H35" s="45">
        <f>SUM(D35+[2]Hoja1!$I$35)</f>
        <v>33214324.991837237</v>
      </c>
      <c r="I35" s="42">
        <f>SUM(E35+[2]Hoja1!$J$35)</f>
        <v>-1180304.5527516338</v>
      </c>
      <c r="J35" s="56">
        <f t="shared" si="5"/>
        <v>34394629.544588871</v>
      </c>
      <c r="K35" s="37"/>
      <c r="L35" s="41">
        <f>+D35+[3]COMPRES!$L$35</f>
        <v>36406713.651237145</v>
      </c>
      <c r="M35" s="42">
        <f>+[1]RDOACUM!R35</f>
        <v>39703526.450000003</v>
      </c>
      <c r="N35" s="56">
        <f t="shared" si="6"/>
        <v>-3296812.7987628579</v>
      </c>
    </row>
    <row r="36" spans="1:14" x14ac:dyDescent="0.2">
      <c r="A36" s="47" t="s">
        <v>37</v>
      </c>
      <c r="C36" s="49"/>
      <c r="D36" s="93">
        <v>2987957.5067958888</v>
      </c>
      <c r="E36" s="42">
        <v>3221654.73</v>
      </c>
      <c r="F36" s="94">
        <f t="shared" si="4"/>
        <v>-233697.22320411121</v>
      </c>
      <c r="G36" s="44"/>
      <c r="H36" s="45">
        <f>SUM(D36+[2]Hoja1!$I$36)</f>
        <v>25892709.146795891</v>
      </c>
      <c r="I36" s="42">
        <f>SUM(E36+[2]Hoja1!$J$36)</f>
        <v>-647759.85127388733</v>
      </c>
      <c r="J36" s="56">
        <f t="shared" si="5"/>
        <v>26540468.998069778</v>
      </c>
      <c r="K36" s="37"/>
      <c r="L36" s="41">
        <f>+D36+[3]COMPRES!$L$36</f>
        <v>28313968.438408673</v>
      </c>
      <c r="M36" s="42">
        <f>+[1]RDOACUM!R36</f>
        <v>25954057.469999999</v>
      </c>
      <c r="N36" s="56">
        <f t="shared" si="6"/>
        <v>2359910.968408674</v>
      </c>
    </row>
    <row r="37" spans="1:14" x14ac:dyDescent="0.2">
      <c r="A37" s="47" t="s">
        <v>38</v>
      </c>
      <c r="C37" s="49"/>
      <c r="D37" s="93">
        <v>1208478.188691661</v>
      </c>
      <c r="E37" s="42">
        <v>811490.93</v>
      </c>
      <c r="F37" s="94">
        <f t="shared" si="4"/>
        <v>396987.25869166094</v>
      </c>
      <c r="G37" s="44"/>
      <c r="H37" s="67">
        <f>SUM(D37+[2]Hoja1!$I$37)</f>
        <v>14270207.198691661</v>
      </c>
      <c r="I37" s="42">
        <f>SUM(E37+[2]Hoja1!$J$37)</f>
        <v>-2731653.3802735019</v>
      </c>
      <c r="J37" s="56">
        <f t="shared" si="5"/>
        <v>17001860.578965161</v>
      </c>
      <c r="K37" s="37"/>
      <c r="L37" s="41">
        <f>+D37+[3]COMPRES!$L$37</f>
        <v>21850872.396732807</v>
      </c>
      <c r="M37" s="42">
        <f>+[1]RDOACUM!R37</f>
        <v>23866182.280000001</v>
      </c>
      <c r="N37" s="94">
        <f t="shared" si="6"/>
        <v>-2015309.883267194</v>
      </c>
    </row>
    <row r="38" spans="1:14" x14ac:dyDescent="0.2">
      <c r="A38" s="47" t="s">
        <v>39</v>
      </c>
      <c r="B38" s="95"/>
      <c r="C38" s="95"/>
      <c r="D38" s="96">
        <v>0</v>
      </c>
      <c r="E38" s="97">
        <v>0</v>
      </c>
      <c r="F38" s="98">
        <f t="shared" si="4"/>
        <v>0</v>
      </c>
      <c r="G38" s="99">
        <f>SUM(E38)</f>
        <v>0</v>
      </c>
      <c r="H38" s="100" t="e">
        <f>SUM(G38/G61)*100</f>
        <v>#DIV/0!</v>
      </c>
      <c r="I38" s="4"/>
      <c r="J38" s="4"/>
      <c r="L38" s="96">
        <v>0</v>
      </c>
      <c r="M38" s="97">
        <v>0</v>
      </c>
      <c r="N38" s="94">
        <f t="shared" si="6"/>
        <v>0</v>
      </c>
    </row>
    <row r="39" spans="1:14" x14ac:dyDescent="0.2">
      <c r="B39" s="29" t="s">
        <v>40</v>
      </c>
      <c r="C39" s="49"/>
      <c r="D39" s="57">
        <f>SUM(D33:D38)</f>
        <v>78880216.686384037</v>
      </c>
      <c r="E39" s="58">
        <f>SUM(E33:E38)</f>
        <v>92262104.980000019</v>
      </c>
      <c r="F39" s="59">
        <f t="shared" si="4"/>
        <v>-13381888.293615982</v>
      </c>
      <c r="G39" s="60"/>
      <c r="H39" s="61">
        <f>SUM(H33:H37)</f>
        <v>731447693.09638393</v>
      </c>
      <c r="I39" s="58">
        <f>SUM(I33:I37)</f>
        <v>59083767.695375718</v>
      </c>
      <c r="J39" s="62">
        <f t="shared" si="5"/>
        <v>672363925.40100825</v>
      </c>
      <c r="K39" s="37"/>
      <c r="L39" s="57">
        <f>SUM(L33:L38)</f>
        <v>698529768.00096774</v>
      </c>
      <c r="M39" s="58">
        <f>SUM(M33:M38)</f>
        <v>723567751.88</v>
      </c>
      <c r="N39" s="62">
        <f t="shared" si="6"/>
        <v>-25037983.879032254</v>
      </c>
    </row>
    <row r="40" spans="1:14" x14ac:dyDescent="0.2">
      <c r="A40" s="47" t="s">
        <v>41</v>
      </c>
      <c r="C40" s="49"/>
      <c r="D40" s="88">
        <v>40390.322486546735</v>
      </c>
      <c r="E40" s="101">
        <v>140286.04</v>
      </c>
      <c r="F40" s="90">
        <f t="shared" si="4"/>
        <v>-99895.717513453274</v>
      </c>
      <c r="G40" s="102"/>
      <c r="H40" s="91">
        <f>SUM(D40+[2]Hoja1!$I$39)</f>
        <v>652607866.73248649</v>
      </c>
      <c r="I40" s="89">
        <f>SUM(E40+[2]Hoja1!$J$39)</f>
        <v>-33038051.244624339</v>
      </c>
      <c r="J40" s="92">
        <f t="shared" si="5"/>
        <v>685645917.97711086</v>
      </c>
      <c r="K40" s="37"/>
      <c r="L40" s="50">
        <f>+D40+[3]COMPRES!$L$40</f>
        <v>915474.5491262126</v>
      </c>
      <c r="M40" s="51">
        <f>+[1]RDOACUM!R39</f>
        <v>719236.20000000007</v>
      </c>
      <c r="N40" s="92">
        <f t="shared" si="6"/>
        <v>196238.34912621253</v>
      </c>
    </row>
    <row r="41" spans="1:14" x14ac:dyDescent="0.2">
      <c r="A41" s="47" t="s">
        <v>42</v>
      </c>
      <c r="C41" s="49"/>
      <c r="D41" s="41">
        <v>48598.212595652592</v>
      </c>
      <c r="E41" s="42">
        <v>78421.649999999994</v>
      </c>
      <c r="F41" s="94">
        <f t="shared" si="4"/>
        <v>-29823.437404347402</v>
      </c>
      <c r="G41" s="44"/>
      <c r="H41" s="45">
        <f>SUM(D41+[2]Hoja1!$I$40)</f>
        <v>784333.3825956526</v>
      </c>
      <c r="I41" s="42">
        <f>SUM(E41+[2]Hoja1!$J$40)</f>
        <v>363666.20788228535</v>
      </c>
      <c r="J41" s="103">
        <f t="shared" si="5"/>
        <v>420667.17471336725</v>
      </c>
      <c r="K41" s="37"/>
      <c r="L41" s="41">
        <f>+D41+[3]COMPRES!$L$41</f>
        <v>323148.7832424161</v>
      </c>
      <c r="M41" s="42">
        <f>+[1]RDOACUM!R40</f>
        <v>915624.16999999993</v>
      </c>
      <c r="N41" s="56">
        <f t="shared" si="6"/>
        <v>-592475.38675758382</v>
      </c>
    </row>
    <row r="42" spans="1:14" x14ac:dyDescent="0.2">
      <c r="A42" s="47" t="s">
        <v>43</v>
      </c>
      <c r="C42" s="49"/>
      <c r="D42" s="41">
        <v>130087.55559223224</v>
      </c>
      <c r="E42" s="42">
        <v>194609.47</v>
      </c>
      <c r="F42" s="94">
        <f t="shared" si="4"/>
        <v>-64521.914407767763</v>
      </c>
      <c r="G42" s="44"/>
      <c r="H42" s="45">
        <f>SUM(D42+[2]Hoja1!$I$41)</f>
        <v>170583.45559223223</v>
      </c>
      <c r="I42" s="42">
        <f>SUM(E42+[2]Hoja1!$J$41)</f>
        <v>215715.33214633737</v>
      </c>
      <c r="J42" s="103">
        <f t="shared" si="5"/>
        <v>-45131.87655410514</v>
      </c>
      <c r="K42" s="37"/>
      <c r="L42" s="41">
        <f>+D42+[3]COMPRES!$L$42</f>
        <v>1875348.7906619136</v>
      </c>
      <c r="M42" s="42">
        <f>+[1]RDOACUM!R41</f>
        <v>2193510.11</v>
      </c>
      <c r="N42" s="56">
        <f t="shared" si="6"/>
        <v>-318161.31933808629</v>
      </c>
    </row>
    <row r="43" spans="1:14" x14ac:dyDescent="0.2">
      <c r="A43" s="47" t="s">
        <v>44</v>
      </c>
      <c r="C43" s="49"/>
      <c r="D43" s="41">
        <v>6849.4590992867452</v>
      </c>
      <c r="E43" s="42">
        <v>755.45</v>
      </c>
      <c r="F43" s="94">
        <f t="shared" si="4"/>
        <v>6094.0090992867454</v>
      </c>
      <c r="G43" s="44"/>
      <c r="H43" s="45">
        <f>SUM(D43+[2]Hoja1!$I$42)</f>
        <v>1614209.6590992867</v>
      </c>
      <c r="I43" s="42">
        <f>SUM(E43+[2]Hoja1!$J$42)</f>
        <v>521238.99601779698</v>
      </c>
      <c r="J43" s="103">
        <f t="shared" si="5"/>
        <v>1092970.6630814897</v>
      </c>
      <c r="K43" s="37"/>
      <c r="L43" s="41">
        <f>+D43+[3]COMPRES!$L$43</f>
        <v>86028.999302830125</v>
      </c>
      <c r="M43" s="42">
        <f>+[1]RDOACUM!R42</f>
        <v>74549.03</v>
      </c>
      <c r="N43" s="56">
        <f t="shared" si="6"/>
        <v>11479.969302830126</v>
      </c>
    </row>
    <row r="44" spans="1:14" x14ac:dyDescent="0.2">
      <c r="A44" s="47" t="s">
        <v>45</v>
      </c>
      <c r="C44" s="49"/>
      <c r="D44" s="41">
        <v>3592.4687267998638</v>
      </c>
      <c r="E44" s="42">
        <v>435</v>
      </c>
      <c r="F44" s="94">
        <f t="shared" si="4"/>
        <v>3157.4687267998638</v>
      </c>
      <c r="G44" s="44"/>
      <c r="H44" s="45">
        <f>SUM(D44+[2]Hoja1!$I$43)</f>
        <v>215274.76872679984</v>
      </c>
      <c r="I44" s="42">
        <f>SUM(E44+[2]Hoja1!$J$43)</f>
        <v>94332.730882829695</v>
      </c>
      <c r="J44" s="103">
        <f t="shared" si="5"/>
        <v>120942.03784397015</v>
      </c>
      <c r="K44" s="37"/>
      <c r="L44" s="41">
        <f>+D44+[3]COMPRES!$L$44</f>
        <v>390051.01172555151</v>
      </c>
      <c r="M44" s="42">
        <f>+[1]RDOACUM!R43</f>
        <v>410262.31999999995</v>
      </c>
      <c r="N44" s="56">
        <f t="shared" si="6"/>
        <v>-20211.308274448442</v>
      </c>
    </row>
    <row r="45" spans="1:14" x14ac:dyDescent="0.2">
      <c r="A45" s="47" t="s">
        <v>46</v>
      </c>
      <c r="C45" s="49"/>
      <c r="D45" s="41">
        <v>0</v>
      </c>
      <c r="E45" s="104">
        <v>0</v>
      </c>
      <c r="F45" s="94">
        <f t="shared" si="4"/>
        <v>0</v>
      </c>
      <c r="G45" s="105"/>
      <c r="H45" s="106">
        <f>SUM(D45+[2]Hoja1!$I$44)</f>
        <v>290385.82999999996</v>
      </c>
      <c r="I45" s="104">
        <f>SUM(E45+[2]Hoja1!$J$44)</f>
        <v>169352.92368459678</v>
      </c>
      <c r="J45" s="107">
        <f t="shared" si="5"/>
        <v>121032.90631540318</v>
      </c>
      <c r="K45" s="37"/>
      <c r="L45" s="41">
        <f>+D45+[3]COMPRES!$L$45</f>
        <v>0.01</v>
      </c>
      <c r="M45" s="42">
        <f>+[1]RDOACUM!R44</f>
        <v>0</v>
      </c>
      <c r="N45" s="56">
        <f t="shared" si="6"/>
        <v>0.01</v>
      </c>
    </row>
    <row r="46" spans="1:14" x14ac:dyDescent="0.2">
      <c r="A46" s="47" t="s">
        <v>47</v>
      </c>
      <c r="C46" s="49"/>
      <c r="D46" s="41">
        <v>7083.4634538248001</v>
      </c>
      <c r="E46" s="42">
        <v>56192.63</v>
      </c>
      <c r="F46" s="94">
        <f t="shared" si="4"/>
        <v>-49109.166546175198</v>
      </c>
      <c r="G46" s="44"/>
      <c r="H46" s="45">
        <f>SUM(D46+[2]Hoja1!$I$45)</f>
        <v>7083.4634538248001</v>
      </c>
      <c r="I46" s="42">
        <f>SUM(E46+[2]Hoja1!$J$45)</f>
        <v>56192.63</v>
      </c>
      <c r="J46" s="103">
        <f t="shared" si="5"/>
        <v>-49109.166546175198</v>
      </c>
      <c r="K46" s="37"/>
      <c r="L46" s="41">
        <f>+D46+[3]COMPRES!$L$46</f>
        <v>114308.30661793407</v>
      </c>
      <c r="M46" s="42">
        <f>+[1]RDOACUM!R45</f>
        <v>175092</v>
      </c>
      <c r="N46" s="56">
        <f t="shared" si="6"/>
        <v>-60783.693382065932</v>
      </c>
    </row>
    <row r="47" spans="1:14" x14ac:dyDescent="0.2">
      <c r="A47" s="47" t="s">
        <v>48</v>
      </c>
      <c r="C47" s="49"/>
      <c r="D47" s="41">
        <v>9.84288570111441</v>
      </c>
      <c r="E47" s="108">
        <v>3697.58</v>
      </c>
      <c r="F47" s="94">
        <f>SUM(D47-E47)</f>
        <v>-3687.7371142988854</v>
      </c>
      <c r="G47" s="44"/>
      <c r="H47" s="45">
        <f>SUM(D47+[2]Hoja1!$I$46)</f>
        <v>147904.8428857011</v>
      </c>
      <c r="I47" s="42">
        <f>SUM(E47+[2]Hoja1!$J$46)</f>
        <v>212414.18819465136</v>
      </c>
      <c r="J47" s="56">
        <f t="shared" si="5"/>
        <v>-64509.345308950258</v>
      </c>
      <c r="K47" s="37"/>
      <c r="L47" s="41">
        <f>+D47+[3]COMPRES!$L$47</f>
        <v>100127.81807430812</v>
      </c>
      <c r="M47" s="42">
        <f>+[1]RDOACUM!R46</f>
        <v>40216.11</v>
      </c>
      <c r="N47" s="56">
        <f t="shared" ref="N47:N62" si="7">SUM(L47-M47)</f>
        <v>59911.708074308117</v>
      </c>
    </row>
    <row r="48" spans="1:14" x14ac:dyDescent="0.2">
      <c r="B48" s="29" t="s">
        <v>49</v>
      </c>
      <c r="C48" s="49"/>
      <c r="D48" s="57">
        <f>SUM(D40:D47)</f>
        <v>236611.32484004405</v>
      </c>
      <c r="E48" s="109">
        <f>SUM(E40:E47)</f>
        <v>474397.82000000007</v>
      </c>
      <c r="F48" s="59">
        <f t="shared" si="4"/>
        <v>-237786.49515995602</v>
      </c>
      <c r="G48" s="60"/>
      <c r="H48" s="61">
        <f>SUM(H40:H47)</f>
        <v>655837642.13484013</v>
      </c>
      <c r="I48" s="58">
        <f>SUM(I40:I47)</f>
        <v>-31405138.235815838</v>
      </c>
      <c r="J48" s="62">
        <f t="shared" si="5"/>
        <v>687242780.37065601</v>
      </c>
      <c r="K48" s="37"/>
      <c r="L48" s="57">
        <f>SUM(L40:L47)</f>
        <v>3804488.2687511663</v>
      </c>
      <c r="M48" s="109">
        <f>SUM(M40:M47)</f>
        <v>4528489.9400000004</v>
      </c>
      <c r="N48" s="62">
        <f t="shared" si="7"/>
        <v>-724001.67124883411</v>
      </c>
    </row>
    <row r="49" spans="1:15" x14ac:dyDescent="0.2">
      <c r="C49" s="30" t="s">
        <v>50</v>
      </c>
      <c r="D49" s="110">
        <f>SUM(D48,D39)</f>
        <v>79116828.011224076</v>
      </c>
      <c r="E49" s="109">
        <f>SUM(E48,E39)</f>
        <v>92736502.800000012</v>
      </c>
      <c r="F49" s="59">
        <f t="shared" si="4"/>
        <v>-13619674.788775936</v>
      </c>
      <c r="G49" s="111"/>
      <c r="H49" s="112">
        <f>SUM(H48,H39)</f>
        <v>1387285335.2312241</v>
      </c>
      <c r="I49" s="109">
        <f>SUM(I48,I39)</f>
        <v>27678629.45955988</v>
      </c>
      <c r="J49" s="62">
        <f t="shared" si="5"/>
        <v>1359606705.7716641</v>
      </c>
      <c r="K49" s="37"/>
      <c r="L49" s="110">
        <f>SUM(L48,L39)</f>
        <v>702334256.26971889</v>
      </c>
      <c r="M49" s="109">
        <f>SUM(M48,M39)</f>
        <v>728096241.82000005</v>
      </c>
      <c r="N49" s="62">
        <f t="shared" si="7"/>
        <v>-25761985.550281167</v>
      </c>
    </row>
    <row r="50" spans="1:15" x14ac:dyDescent="0.2">
      <c r="A50" s="47" t="s">
        <v>51</v>
      </c>
      <c r="C50" s="49"/>
      <c r="D50" s="91">
        <v>85000</v>
      </c>
      <c r="E50" s="89">
        <v>0</v>
      </c>
      <c r="F50" s="90">
        <f t="shared" si="4"/>
        <v>85000</v>
      </c>
      <c r="G50" s="102"/>
      <c r="H50" s="91">
        <f>SUM(D50+[2]Hoja1!$I$49)</f>
        <v>655824271.24000001</v>
      </c>
      <c r="I50" s="89">
        <f>SUM(E50+[2]Hoja1!$J$49)</f>
        <v>-31918704.151584148</v>
      </c>
      <c r="J50" s="92">
        <f t="shared" si="5"/>
        <v>687742975.39158416</v>
      </c>
      <c r="K50" s="37"/>
      <c r="L50" s="50">
        <f>+D50+[3]COMPRES!$L$50</f>
        <v>255000</v>
      </c>
      <c r="M50" s="51">
        <f>+[1]IYE!S51</f>
        <v>74310</v>
      </c>
      <c r="N50" s="92">
        <f t="shared" si="7"/>
        <v>180690</v>
      </c>
    </row>
    <row r="51" spans="1:15" x14ac:dyDescent="0.2">
      <c r="A51" s="47" t="s">
        <v>52</v>
      </c>
      <c r="C51" s="49"/>
      <c r="D51" s="55">
        <v>0</v>
      </c>
      <c r="E51" s="113">
        <v>0</v>
      </c>
      <c r="F51" s="94">
        <f>SUM(D51-E51)</f>
        <v>0</v>
      </c>
      <c r="G51" s="102"/>
      <c r="H51" s="55">
        <f>SUM(D51+[2]Hoja1!$I$50)</f>
        <v>168000</v>
      </c>
      <c r="I51" s="42">
        <f>SUM(E51+[2]Hoja1!$J$50)</f>
        <v>36500</v>
      </c>
      <c r="J51" s="56">
        <f t="shared" si="5"/>
        <v>131500</v>
      </c>
      <c r="K51" s="37"/>
      <c r="L51" s="41">
        <f>+D51+[3]COMPRES!$L$51</f>
        <v>100000</v>
      </c>
      <c r="M51" s="42">
        <f>+[1]IYE!S52</f>
        <v>92229.5</v>
      </c>
      <c r="N51" s="56">
        <f t="shared" si="7"/>
        <v>7770.5</v>
      </c>
    </row>
    <row r="52" spans="1:15" x14ac:dyDescent="0.2">
      <c r="A52" s="47" t="s">
        <v>53</v>
      </c>
      <c r="C52" s="49"/>
      <c r="D52" s="55">
        <v>0</v>
      </c>
      <c r="E52" s="113">
        <v>0</v>
      </c>
      <c r="F52" s="94">
        <f t="shared" si="4"/>
        <v>0</v>
      </c>
      <c r="G52" s="102"/>
      <c r="H52" s="55">
        <f>SUM(D52+[2]Hoja1!$I$51)</f>
        <v>181001.05</v>
      </c>
      <c r="I52" s="64">
        <f>SUM(E52+[2]Hoja1!$J$51)</f>
        <v>358031.95</v>
      </c>
      <c r="J52" s="56">
        <f t="shared" si="5"/>
        <v>-177030.90000000002</v>
      </c>
      <c r="K52" s="37"/>
      <c r="L52" s="41">
        <f>+D52+[3]COMPRES!$L$52</f>
        <v>0</v>
      </c>
      <c r="M52" s="42">
        <f>+[1]IYE!S53</f>
        <v>0</v>
      </c>
      <c r="N52" s="56">
        <f t="shared" si="7"/>
        <v>0</v>
      </c>
    </row>
    <row r="53" spans="1:15" x14ac:dyDescent="0.2">
      <c r="A53" s="47" t="s">
        <v>54</v>
      </c>
      <c r="C53" s="49"/>
      <c r="D53" s="55">
        <v>3409751</v>
      </c>
      <c r="E53" s="113">
        <v>0</v>
      </c>
      <c r="F53" s="94">
        <f t="shared" si="4"/>
        <v>3409751</v>
      </c>
      <c r="G53" s="102"/>
      <c r="H53" s="55">
        <f>SUM(D53+[2]Hoja1!$I$52)</f>
        <v>3409751</v>
      </c>
      <c r="I53" s="42">
        <f>SUM(E53+[2]Hoja1!$J$52)</f>
        <v>0</v>
      </c>
      <c r="J53" s="56">
        <f t="shared" si="5"/>
        <v>3409751</v>
      </c>
      <c r="K53" s="37"/>
      <c r="L53" s="41">
        <f>+D53+[3]COMPRES!$L$53</f>
        <v>20868506</v>
      </c>
      <c r="M53" s="42">
        <f>+[1]IYE!S54</f>
        <v>17058275.649999999</v>
      </c>
      <c r="N53" s="56">
        <f t="shared" si="7"/>
        <v>3810230.3500000015</v>
      </c>
    </row>
    <row r="54" spans="1:15" x14ac:dyDescent="0.2">
      <c r="A54" s="47" t="s">
        <v>55</v>
      </c>
      <c r="C54" s="49"/>
      <c r="D54" s="55">
        <v>0</v>
      </c>
      <c r="E54" s="113">
        <v>0</v>
      </c>
      <c r="F54" s="94">
        <f>SUM(D54-E54)</f>
        <v>0</v>
      </c>
      <c r="G54" s="102"/>
      <c r="H54" s="55">
        <f>SUM(D54+[2]Hoja1!$I$53)</f>
        <v>23713675.899999999</v>
      </c>
      <c r="I54" s="42">
        <f>SUM(E54+[2]Hoja1!$J$53)</f>
        <v>-4676884.8999999985</v>
      </c>
      <c r="J54" s="56">
        <f t="shared" si="5"/>
        <v>28390560.799999997</v>
      </c>
      <c r="K54" s="37"/>
      <c r="L54" s="41">
        <f>+D54+[3]COMPRES!$L$54</f>
        <v>0</v>
      </c>
      <c r="M54" s="42">
        <f>+[1]IYE!S55</f>
        <v>20087.530000000002</v>
      </c>
      <c r="N54" s="56">
        <f t="shared" si="7"/>
        <v>-20087.530000000002</v>
      </c>
      <c r="O54" s="66"/>
    </row>
    <row r="55" spans="1:15" x14ac:dyDescent="0.2">
      <c r="A55" s="47" t="s">
        <v>56</v>
      </c>
      <c r="C55" s="49"/>
      <c r="D55" s="55">
        <v>750000</v>
      </c>
      <c r="E55" s="113">
        <v>337909.18</v>
      </c>
      <c r="F55" s="94">
        <f t="shared" si="4"/>
        <v>412090.82</v>
      </c>
      <c r="G55" s="102"/>
      <c r="H55" s="55">
        <f>SUM(D55+[2]Hoja1!$I$54)</f>
        <v>766195</v>
      </c>
      <c r="I55" s="42">
        <f>SUM(E55+[2]Hoja1!$J$54)</f>
        <v>673046.17999999993</v>
      </c>
      <c r="J55" s="56">
        <f t="shared" si="5"/>
        <v>93148.820000000065</v>
      </c>
      <c r="K55" s="37"/>
      <c r="L55" s="41">
        <f>+D55+[3]COMPRES!$L$55</f>
        <v>8300000</v>
      </c>
      <c r="M55" s="42">
        <f>+[1]IYE!S56</f>
        <v>7472804.8899999997</v>
      </c>
      <c r="N55" s="56">
        <f t="shared" si="7"/>
        <v>827195.11000000034</v>
      </c>
    </row>
    <row r="56" spans="1:15" x14ac:dyDescent="0.2">
      <c r="A56" s="47" t="s">
        <v>57</v>
      </c>
      <c r="C56" s="49"/>
      <c r="D56" s="55">
        <v>400000</v>
      </c>
      <c r="E56" s="113">
        <v>416258.08</v>
      </c>
      <c r="F56" s="94">
        <f t="shared" si="4"/>
        <v>-16258.080000000016</v>
      </c>
      <c r="G56" s="102"/>
      <c r="H56" s="55">
        <f>SUM(D56+[2]Hoja1!$I$55)</f>
        <v>2146494.88</v>
      </c>
      <c r="I56" s="42">
        <f>SUM(E56+[2]Hoja1!$J$55)</f>
        <v>1565869.6500000004</v>
      </c>
      <c r="J56" s="56">
        <f t="shared" si="5"/>
        <v>580625.22999999952</v>
      </c>
      <c r="K56" s="37"/>
      <c r="L56" s="41">
        <f>+D56+[3]COMPRES!$L$56</f>
        <v>3039751</v>
      </c>
      <c r="M56" s="42">
        <f>+[1]IYE!S57</f>
        <v>2448516.13</v>
      </c>
      <c r="N56" s="56">
        <f t="shared" si="7"/>
        <v>591234.87000000011</v>
      </c>
    </row>
    <row r="57" spans="1:15" x14ac:dyDescent="0.2">
      <c r="A57" s="47" t="s">
        <v>58</v>
      </c>
      <c r="C57" s="49"/>
      <c r="D57" s="55">
        <v>100000</v>
      </c>
      <c r="E57" s="113">
        <v>274424.55</v>
      </c>
      <c r="F57" s="94">
        <f t="shared" si="4"/>
        <v>-174424.55</v>
      </c>
      <c r="G57" s="102"/>
      <c r="H57" s="55">
        <f>SUM(D57+[2]Hoja1!$I$56)</f>
        <v>4312298.28</v>
      </c>
      <c r="I57" s="42">
        <f>SUM(E57+[2]Hoja1!$J$56)</f>
        <v>256513.81999999954</v>
      </c>
      <c r="J57" s="56">
        <f t="shared" si="5"/>
        <v>4055784.4600000009</v>
      </c>
      <c r="K57" s="37"/>
      <c r="L57" s="41">
        <f>+D57+[3]COMPRES!$L$57</f>
        <v>3300000</v>
      </c>
      <c r="M57" s="42">
        <f>+[1]IYE!S58</f>
        <v>2051702.55</v>
      </c>
      <c r="N57" s="56">
        <f t="shared" si="7"/>
        <v>1248297.45</v>
      </c>
    </row>
    <row r="58" spans="1:15" x14ac:dyDescent="0.2">
      <c r="A58" s="47" t="s">
        <v>59</v>
      </c>
      <c r="C58" s="49"/>
      <c r="D58" s="55">
        <v>910000</v>
      </c>
      <c r="E58" s="113">
        <v>518637</v>
      </c>
      <c r="F58" s="94">
        <f t="shared" si="4"/>
        <v>391363</v>
      </c>
      <c r="G58" s="102"/>
      <c r="H58" s="55">
        <f>SUM(D58+[2]Hoja1!$I$57)</f>
        <v>2118098</v>
      </c>
      <c r="I58" s="42">
        <f>SUM(E58+[2]Hoja1!$J$57)</f>
        <v>3469230.19</v>
      </c>
      <c r="J58" s="56">
        <f t="shared" si="5"/>
        <v>-1351132.19</v>
      </c>
      <c r="K58" s="37"/>
      <c r="L58" s="41">
        <f>+D58+[3]COMPRES!$L$58</f>
        <v>4050000</v>
      </c>
      <c r="M58" s="42">
        <f>+[1]IYE!S59</f>
        <v>3220263.17</v>
      </c>
      <c r="N58" s="56">
        <f t="shared" si="7"/>
        <v>829736.83000000007</v>
      </c>
    </row>
    <row r="59" spans="1:15" x14ac:dyDescent="0.2">
      <c r="A59" s="47" t="s">
        <v>60</v>
      </c>
      <c r="C59" s="49"/>
      <c r="D59" s="55">
        <v>85000</v>
      </c>
      <c r="E59" s="113">
        <v>17474</v>
      </c>
      <c r="F59" s="94">
        <f t="shared" si="4"/>
        <v>67526</v>
      </c>
      <c r="G59" s="102"/>
      <c r="H59" s="55">
        <f>SUM(D59+[2]Hoja1!$I$58)</f>
        <v>-463545.14000000013</v>
      </c>
      <c r="I59" s="64">
        <f>SUM(E59+[2]Hoja1!$J$58)</f>
        <v>2898650.21</v>
      </c>
      <c r="J59" s="56">
        <f t="shared" si="5"/>
        <v>-3362195.35</v>
      </c>
      <c r="K59" s="37"/>
      <c r="L59" s="41">
        <f>+D59+[3]COMPRES!$L$59</f>
        <v>265000</v>
      </c>
      <c r="M59" s="42">
        <f>+[1]IYE!S60</f>
        <v>122894</v>
      </c>
      <c r="N59" s="56">
        <f t="shared" si="7"/>
        <v>142106</v>
      </c>
    </row>
    <row r="60" spans="1:15" x14ac:dyDescent="0.2">
      <c r="A60" s="47" t="s">
        <v>61</v>
      </c>
      <c r="C60" s="49"/>
      <c r="D60" s="55">
        <v>0</v>
      </c>
      <c r="E60" s="113">
        <v>0</v>
      </c>
      <c r="F60" s="94">
        <f t="shared" si="4"/>
        <v>0</v>
      </c>
      <c r="G60" s="102"/>
      <c r="H60" s="55"/>
      <c r="I60" s="64"/>
      <c r="J60" s="56"/>
      <c r="K60" s="37"/>
      <c r="L60" s="41">
        <f>+D60+[3]COMPRES!$L$60</f>
        <v>0</v>
      </c>
      <c r="M60" s="42">
        <f>+[1]IYE!S61</f>
        <v>0</v>
      </c>
      <c r="N60" s="56"/>
    </row>
    <row r="61" spans="1:15" x14ac:dyDescent="0.2">
      <c r="B61" s="29" t="s">
        <v>62</v>
      </c>
      <c r="C61" s="49"/>
      <c r="D61" s="114">
        <f>SUM(D50:D60)</f>
        <v>5739751</v>
      </c>
      <c r="E61" s="115">
        <f>SUM(E50:E60)</f>
        <v>1564702.81</v>
      </c>
      <c r="F61" s="59">
        <f t="shared" si="4"/>
        <v>4175048.19</v>
      </c>
      <c r="G61" s="60"/>
      <c r="H61" s="116">
        <f>SUM(H50:H59)</f>
        <v>692176240.20999992</v>
      </c>
      <c r="I61" s="115">
        <f>SUM(I50:I59)</f>
        <v>-27337747.051584151</v>
      </c>
      <c r="J61" s="62">
        <f>SUM(J50:J59)</f>
        <v>719513987.26158416</v>
      </c>
      <c r="K61" s="37"/>
      <c r="L61" s="114">
        <f>SUM(L50:L60)</f>
        <v>40178257</v>
      </c>
      <c r="M61" s="115">
        <f>SUM(M50:M60)</f>
        <v>32561083.420000002</v>
      </c>
      <c r="N61" s="62">
        <f t="shared" si="7"/>
        <v>7617173.5799999982</v>
      </c>
    </row>
    <row r="62" spans="1:15" x14ac:dyDescent="0.2">
      <c r="C62" s="30" t="s">
        <v>63</v>
      </c>
      <c r="D62" s="117">
        <f>SUM(D49+D61)</f>
        <v>84856579.011224076</v>
      </c>
      <c r="E62" s="118">
        <f>SUM(E49+E61)</f>
        <v>94301205.610000014</v>
      </c>
      <c r="F62" s="71">
        <f t="shared" si="4"/>
        <v>-9444626.5987759382</v>
      </c>
      <c r="G62" s="72"/>
      <c r="H62" s="119">
        <f>SUM(H49+H61)</f>
        <v>2079461575.4412241</v>
      </c>
      <c r="I62" s="118">
        <f>SUM(I49+I61)</f>
        <v>340882.40797572955</v>
      </c>
      <c r="J62" s="120">
        <f>SUM(J49+J61)</f>
        <v>2079120693.0332484</v>
      </c>
      <c r="K62" s="37"/>
      <c r="L62" s="117">
        <f>SUM(L49+L61)</f>
        <v>742512513.26971889</v>
      </c>
      <c r="M62" s="118">
        <f>SUM(M49+M61)</f>
        <v>760657325.24000001</v>
      </c>
      <c r="N62" s="121">
        <f t="shared" si="7"/>
        <v>-18144811.970281124</v>
      </c>
    </row>
    <row r="63" spans="1:15" x14ac:dyDescent="0.2">
      <c r="A63" s="84" t="s">
        <v>64</v>
      </c>
      <c r="C63" s="30"/>
      <c r="D63" s="41"/>
      <c r="E63" s="85"/>
      <c r="F63" s="43"/>
      <c r="G63" s="44"/>
      <c r="H63" s="41"/>
      <c r="I63" s="85"/>
      <c r="J63" s="43"/>
      <c r="K63" s="37"/>
      <c r="L63" s="41"/>
      <c r="M63" s="85"/>
      <c r="N63" s="43"/>
    </row>
    <row r="64" spans="1:15" x14ac:dyDescent="0.2">
      <c r="A64" s="47" t="s">
        <v>34</v>
      </c>
      <c r="C64" s="30"/>
      <c r="D64" s="50">
        <f t="shared" ref="D64:D69" si="8">+E64</f>
        <v>53200</v>
      </c>
      <c r="E64" s="51">
        <f>SUM([1]rdo!E52)</f>
        <v>53200</v>
      </c>
      <c r="F64" s="52">
        <f t="shared" si="4"/>
        <v>0</v>
      </c>
      <c r="G64" s="44"/>
      <c r="H64" s="50">
        <f>SUM(D64+[2]Hoja1!$I$61)</f>
        <v>30618746.969999999</v>
      </c>
      <c r="I64" s="51">
        <f>SUM(E64+[2]Hoja1!$J$61)</f>
        <v>3319412.2900000014</v>
      </c>
      <c r="J64" s="52">
        <f t="shared" si="5"/>
        <v>27299334.679999996</v>
      </c>
      <c r="K64" s="37"/>
      <c r="L64" s="50">
        <f t="shared" ref="L64:L69" si="9">+M64</f>
        <v>644110</v>
      </c>
      <c r="M64" s="51">
        <f>+[1]RDOACUM!R51</f>
        <v>644110</v>
      </c>
      <c r="N64" s="52">
        <f t="shared" ref="N64:N73" si="10">SUM(L64-M64)</f>
        <v>0</v>
      </c>
    </row>
    <row r="65" spans="1:14" x14ac:dyDescent="0.2">
      <c r="A65" s="47" t="s">
        <v>35</v>
      </c>
      <c r="C65" s="30"/>
      <c r="D65" s="63">
        <f t="shared" si="8"/>
        <v>600663.75</v>
      </c>
      <c r="E65" s="64">
        <f>+[1]mesvsmes!D64</f>
        <v>600663.75</v>
      </c>
      <c r="F65" s="94">
        <f t="shared" si="4"/>
        <v>0</v>
      </c>
      <c r="G65" s="44"/>
      <c r="H65" s="63">
        <f>SUM(D65+[2]Hoja1!$I$63)</f>
        <v>9125043.75</v>
      </c>
      <c r="I65" s="42">
        <f>SUM(E65+[2]Hoja1!$J$63)</f>
        <v>9122524.75</v>
      </c>
      <c r="J65" s="94">
        <f t="shared" si="5"/>
        <v>2519</v>
      </c>
      <c r="K65" s="37"/>
      <c r="L65" s="122">
        <f t="shared" si="9"/>
        <v>8753352.3099999987</v>
      </c>
      <c r="M65" s="42">
        <f>+[1]IYE!S67</f>
        <v>8753352.3099999987</v>
      </c>
      <c r="N65" s="94">
        <f t="shared" si="10"/>
        <v>0</v>
      </c>
    </row>
    <row r="66" spans="1:14" x14ac:dyDescent="0.2">
      <c r="A66" s="47" t="s">
        <v>65</v>
      </c>
      <c r="C66" s="30"/>
      <c r="D66" s="63">
        <f t="shared" si="8"/>
        <v>830193.3</v>
      </c>
      <c r="E66" s="64">
        <f>SUM([1]rdo!E54)</f>
        <v>830193.3</v>
      </c>
      <c r="F66" s="94">
        <f t="shared" si="4"/>
        <v>0</v>
      </c>
      <c r="G66" s="44"/>
      <c r="H66" s="63" t="e">
        <f>SUM(D66+[2]Hoja1!$I$64)</f>
        <v>#REF!</v>
      </c>
      <c r="I66" s="42" t="e">
        <f>SUM(E66+[2]Hoja1!$J$64)</f>
        <v>#REF!</v>
      </c>
      <c r="J66" s="94" t="e">
        <f t="shared" si="5"/>
        <v>#REF!</v>
      </c>
      <c r="K66" s="37"/>
      <c r="L66" s="122">
        <f t="shared" si="9"/>
        <v>6194181.3399999999</v>
      </c>
      <c r="M66" s="42">
        <f>+[1]RDOACUM!R53</f>
        <v>6194181.3399999999</v>
      </c>
      <c r="N66" s="94">
        <f t="shared" si="10"/>
        <v>0</v>
      </c>
    </row>
    <row r="67" spans="1:14" x14ac:dyDescent="0.2">
      <c r="A67" s="47" t="s">
        <v>37</v>
      </c>
      <c r="C67" s="30"/>
      <c r="D67" s="63">
        <f t="shared" si="8"/>
        <v>1008046.92</v>
      </c>
      <c r="E67" s="64">
        <f>SUM([1]rdo!E55)</f>
        <v>1008046.92</v>
      </c>
      <c r="F67" s="94">
        <f t="shared" si="4"/>
        <v>0</v>
      </c>
      <c r="G67" s="44"/>
      <c r="H67" s="63">
        <f>SUM(D67+[2]Hoja1!$I$65)</f>
        <v>11514772.49</v>
      </c>
      <c r="I67" s="42">
        <f>SUM(E67+[2]Hoja1!$J$65)</f>
        <v>1010565.92</v>
      </c>
      <c r="J67" s="94">
        <f t="shared" si="5"/>
        <v>10504206.57</v>
      </c>
      <c r="K67" s="37"/>
      <c r="L67" s="122">
        <f t="shared" si="9"/>
        <v>2962710.07</v>
      </c>
      <c r="M67" s="42">
        <f>+[1]RDOACUM!R54</f>
        <v>2962710.07</v>
      </c>
      <c r="N67" s="94">
        <f t="shared" si="10"/>
        <v>0</v>
      </c>
    </row>
    <row r="68" spans="1:14" x14ac:dyDescent="0.2">
      <c r="A68" s="47" t="s">
        <v>66</v>
      </c>
      <c r="C68" s="30"/>
      <c r="D68" s="63">
        <f t="shared" si="8"/>
        <v>0</v>
      </c>
      <c r="E68" s="64">
        <f>SUM([1]rdo!E56)</f>
        <v>0</v>
      </c>
      <c r="F68" s="94">
        <f t="shared" si="4"/>
        <v>0</v>
      </c>
      <c r="G68" s="44"/>
      <c r="H68" s="63">
        <f>SUM(D68+[2]Hoja1!$I$66)</f>
        <v>10183033.52</v>
      </c>
      <c r="I68" s="42">
        <f>SUM(E68+[2]Hoja1!$J$66)</f>
        <v>59</v>
      </c>
      <c r="J68" s="94">
        <f t="shared" si="5"/>
        <v>10182974.52</v>
      </c>
      <c r="K68" s="37"/>
      <c r="L68" s="122">
        <f t="shared" si="9"/>
        <v>0</v>
      </c>
      <c r="M68" s="42">
        <f>+[1]RDOACUM!R55</f>
        <v>0</v>
      </c>
      <c r="N68" s="94">
        <f t="shared" si="10"/>
        <v>0</v>
      </c>
    </row>
    <row r="69" spans="1:14" x14ac:dyDescent="0.2">
      <c r="A69" s="47" t="s">
        <v>38</v>
      </c>
      <c r="C69" s="30"/>
      <c r="D69" s="63">
        <f t="shared" si="8"/>
        <v>355723.75</v>
      </c>
      <c r="E69" s="64">
        <f>SUM([1]rdo!E57)</f>
        <v>355723.75</v>
      </c>
      <c r="F69" s="94">
        <f t="shared" si="4"/>
        <v>0</v>
      </c>
      <c r="G69" s="44"/>
      <c r="H69" s="63">
        <f>SUM(D69+[2]Hoja1!$I$67)</f>
        <v>1359041.96</v>
      </c>
      <c r="I69" s="42">
        <f>SUM(E69+[2]Hoja1!$J$67)</f>
        <v>355885.75</v>
      </c>
      <c r="J69" s="94">
        <f t="shared" si="5"/>
        <v>1003156.21</v>
      </c>
      <c r="K69" s="37"/>
      <c r="L69" s="122">
        <f t="shared" si="9"/>
        <v>4715748.7699999996</v>
      </c>
      <c r="M69" s="42">
        <f>+[1]RDOACUM!R56</f>
        <v>4715748.7699999996</v>
      </c>
      <c r="N69" s="94">
        <f t="shared" si="10"/>
        <v>0</v>
      </c>
    </row>
    <row r="70" spans="1:14" x14ac:dyDescent="0.2">
      <c r="B70" s="29" t="s">
        <v>67</v>
      </c>
      <c r="C70" s="30"/>
      <c r="D70" s="123">
        <f>SUM(D64:D69)</f>
        <v>2847827.72</v>
      </c>
      <c r="E70" s="124">
        <f>SUM(E64:E69)</f>
        <v>2847827.72</v>
      </c>
      <c r="F70" s="125">
        <f t="shared" si="4"/>
        <v>0</v>
      </c>
      <c r="G70" s="60"/>
      <c r="H70" s="126" t="e">
        <f>SUM(H64:H69)</f>
        <v>#REF!</v>
      </c>
      <c r="I70" s="124" t="e">
        <f>SUM(I64:I69)</f>
        <v>#REF!</v>
      </c>
      <c r="J70" s="127" t="e">
        <f t="shared" si="5"/>
        <v>#REF!</v>
      </c>
      <c r="K70" s="37"/>
      <c r="L70" s="123">
        <f>SUM(L64:L69)</f>
        <v>23270102.489999998</v>
      </c>
      <c r="M70" s="124">
        <f>SUM(M64:M69)</f>
        <v>23270102.489999998</v>
      </c>
      <c r="N70" s="127">
        <f t="shared" si="10"/>
        <v>0</v>
      </c>
    </row>
    <row r="71" spans="1:14" x14ac:dyDescent="0.2">
      <c r="A71" s="47" t="s">
        <v>54</v>
      </c>
      <c r="B71" s="29"/>
      <c r="C71" s="30"/>
      <c r="D71" s="50">
        <f>+E71</f>
        <v>5370168.3600000003</v>
      </c>
      <c r="E71" s="51">
        <f>+[1]IYE!Q73</f>
        <v>5370168.3600000003</v>
      </c>
      <c r="F71" s="52">
        <f t="shared" si="4"/>
        <v>0</v>
      </c>
      <c r="G71" s="44"/>
      <c r="H71" s="50">
        <f>SUM(D71+[2]Hoja1!$I$69)</f>
        <v>11734090.99</v>
      </c>
      <c r="I71" s="51">
        <f>SUM(E71+[2]Hoja1!$J$69)</f>
        <v>5370286.3600000003</v>
      </c>
      <c r="J71" s="52">
        <f>SUM(H71-I71)</f>
        <v>6363804.6299999999</v>
      </c>
      <c r="K71" s="37"/>
      <c r="L71" s="50">
        <f>+M71</f>
        <v>5370168.3600000003</v>
      </c>
      <c r="M71" s="51">
        <f>+[1]IYE!S73</f>
        <v>5370168.3600000003</v>
      </c>
      <c r="N71" s="52">
        <f t="shared" si="10"/>
        <v>0</v>
      </c>
    </row>
    <row r="72" spans="1:14" x14ac:dyDescent="0.2">
      <c r="A72" s="47" t="s">
        <v>68</v>
      </c>
      <c r="C72" s="30"/>
      <c r="D72" s="63">
        <f>+E72</f>
        <v>2457895.29</v>
      </c>
      <c r="E72" s="64">
        <f>+[1]IYE!Q74</f>
        <v>2457895.29</v>
      </c>
      <c r="F72" s="94">
        <f t="shared" si="4"/>
        <v>0</v>
      </c>
      <c r="G72" s="44"/>
      <c r="H72" s="55" t="e">
        <f>SUM(D72+[2]Hoja1!$I$70)</f>
        <v>#REF!</v>
      </c>
      <c r="I72" s="42" t="e">
        <f>SUM(E72+[2]Hoja1!$J$70)</f>
        <v>#REF!</v>
      </c>
      <c r="J72" s="56" t="e">
        <f t="shared" si="5"/>
        <v>#REF!</v>
      </c>
      <c r="K72" s="37"/>
      <c r="L72" s="122">
        <f>+M72</f>
        <v>13728053.879999999</v>
      </c>
      <c r="M72" s="42">
        <f>+[1]IYE!S74</f>
        <v>13728053.879999999</v>
      </c>
      <c r="N72" s="56">
        <f t="shared" si="10"/>
        <v>0</v>
      </c>
    </row>
    <row r="73" spans="1:14" x14ac:dyDescent="0.2">
      <c r="A73" s="47" t="s">
        <v>69</v>
      </c>
      <c r="C73" s="30"/>
      <c r="D73" s="63">
        <f>+E73</f>
        <v>0</v>
      </c>
      <c r="E73" s="64">
        <f>+[1]IYE!Q75</f>
        <v>0</v>
      </c>
      <c r="F73" s="94">
        <f t="shared" si="4"/>
        <v>0</v>
      </c>
      <c r="G73" s="44"/>
      <c r="H73" s="55">
        <f>SUM(D73+[2]Hoja1!$I$71)</f>
        <v>58016772.629999995</v>
      </c>
      <c r="I73" s="104">
        <f>SUM(E73+[2]Hoja1!$J$71)</f>
        <v>70</v>
      </c>
      <c r="J73" s="56">
        <f t="shared" si="5"/>
        <v>58016702.629999995</v>
      </c>
      <c r="K73" s="37"/>
      <c r="L73" s="122">
        <f>+M73</f>
        <v>0</v>
      </c>
      <c r="M73" s="42">
        <f>+[1]IYE!S75</f>
        <v>0</v>
      </c>
      <c r="N73" s="56">
        <f t="shared" si="10"/>
        <v>0</v>
      </c>
    </row>
    <row r="74" spans="1:14" x14ac:dyDescent="0.2">
      <c r="B74" s="29" t="s">
        <v>70</v>
      </c>
      <c r="C74" s="49"/>
      <c r="D74" s="123">
        <f>SUM(D71:D73)</f>
        <v>7828063.6500000004</v>
      </c>
      <c r="E74" s="124">
        <f>SUM(E71:E73)</f>
        <v>7828063.6500000004</v>
      </c>
      <c r="F74" s="125">
        <f>SUM(F71:F73)</f>
        <v>0</v>
      </c>
      <c r="G74" s="60"/>
      <c r="H74" s="126" t="e">
        <f>SUM(H71:H73)</f>
        <v>#REF!</v>
      </c>
      <c r="I74" s="124" t="e">
        <f>SUM(I71:I73)</f>
        <v>#REF!</v>
      </c>
      <c r="J74" s="127" t="e">
        <f t="shared" si="5"/>
        <v>#REF!</v>
      </c>
      <c r="K74" s="37"/>
      <c r="L74" s="123">
        <f>SUM(L71:L73)</f>
        <v>19098222.239999998</v>
      </c>
      <c r="M74" s="124">
        <f>SUM(M71:M73)</f>
        <v>19098222.239999998</v>
      </c>
      <c r="N74" s="127">
        <f>SUM(N71:N73)</f>
        <v>0</v>
      </c>
    </row>
    <row r="75" spans="1:14" x14ac:dyDescent="0.2">
      <c r="B75" s="29"/>
      <c r="C75" s="30" t="s">
        <v>71</v>
      </c>
      <c r="D75" s="69">
        <f>SUM(D74,D70)</f>
        <v>10675891.370000001</v>
      </c>
      <c r="E75" s="73">
        <f>SUM(E74,E70)</f>
        <v>10675891.370000001</v>
      </c>
      <c r="F75" s="71">
        <f t="shared" si="4"/>
        <v>0</v>
      </c>
      <c r="G75" s="72"/>
      <c r="H75" s="73" t="e">
        <f>SUM(H74,H70)</f>
        <v>#REF!</v>
      </c>
      <c r="I75" s="73" t="e">
        <f>SUM(I74,I70)</f>
        <v>#REF!</v>
      </c>
      <c r="J75" s="74" t="e">
        <f t="shared" si="5"/>
        <v>#REF!</v>
      </c>
      <c r="K75" s="37"/>
      <c r="L75" s="69">
        <f>SUM(L74,L70)</f>
        <v>42368324.729999997</v>
      </c>
      <c r="M75" s="73">
        <f>SUM(M74,M70)</f>
        <v>42368324.729999997</v>
      </c>
      <c r="N75" s="74">
        <f>SUM(L75-M75)</f>
        <v>0</v>
      </c>
    </row>
    <row r="76" spans="1:14" x14ac:dyDescent="0.2">
      <c r="C76" s="49"/>
      <c r="D76" s="41"/>
      <c r="E76" s="42"/>
      <c r="F76" s="43"/>
      <c r="G76" s="44"/>
      <c r="H76" s="45"/>
      <c r="I76" s="42"/>
      <c r="J76" s="46"/>
      <c r="K76" s="37"/>
      <c r="L76" s="41"/>
      <c r="M76" s="42"/>
      <c r="N76" s="46"/>
    </row>
    <row r="77" spans="1:14" x14ac:dyDescent="0.2">
      <c r="C77" s="30" t="s">
        <v>72</v>
      </c>
      <c r="D77" s="69">
        <f>SUM(D62+D75)</f>
        <v>95532470.381224081</v>
      </c>
      <c r="E77" s="70">
        <f>SUM(E62+E75)</f>
        <v>104977096.98000002</v>
      </c>
      <c r="F77" s="71">
        <f>SUM(F62+F75)</f>
        <v>-9444626.5987759382</v>
      </c>
      <c r="G77" s="44"/>
      <c r="H77" s="73" t="e">
        <f>SUM(H62+H75)</f>
        <v>#REF!</v>
      </c>
      <c r="I77" s="70" t="e">
        <f>SUM(I62+I75)</f>
        <v>#REF!</v>
      </c>
      <c r="J77" s="121" t="e">
        <f>SUM(J62+J75)</f>
        <v>#REF!</v>
      </c>
      <c r="K77" s="37"/>
      <c r="L77" s="69">
        <f>SUM(L62+L75)</f>
        <v>784880837.9997189</v>
      </c>
      <c r="M77" s="70">
        <f>SUM(M62+M75)</f>
        <v>803025649.97000003</v>
      </c>
      <c r="N77" s="121">
        <f>SUM(N62+N75)</f>
        <v>-18144811.970281124</v>
      </c>
    </row>
    <row r="78" spans="1:14" ht="13.5" thickBot="1" x14ac:dyDescent="0.25">
      <c r="A78" s="128" t="s">
        <v>73</v>
      </c>
      <c r="B78" s="129"/>
      <c r="C78" s="130"/>
      <c r="D78" s="131"/>
      <c r="E78" s="132">
        <f>+E30-E77</f>
        <v>-7155515.4800000191</v>
      </c>
      <c r="F78" s="133"/>
      <c r="G78" s="134"/>
      <c r="H78" s="135"/>
      <c r="I78" s="136" t="e">
        <f>SUM(I30-I77)</f>
        <v>#REF!</v>
      </c>
      <c r="J78" s="137"/>
      <c r="K78" s="138"/>
      <c r="L78" s="131"/>
      <c r="M78" s="132">
        <f>+M30-M77</f>
        <v>48959705.600000024</v>
      </c>
      <c r="N78" s="137"/>
    </row>
    <row r="79" spans="1:14" x14ac:dyDescent="0.2">
      <c r="A79" s="139"/>
      <c r="B79" s="4"/>
      <c r="C79" s="4"/>
    </row>
    <row r="80" spans="1:14" x14ac:dyDescent="0.2">
      <c r="A80" s="139"/>
      <c r="B80" s="139"/>
      <c r="C80" s="139"/>
    </row>
    <row r="81" spans="1:3" x14ac:dyDescent="0.2">
      <c r="A81" s="4"/>
      <c r="B81" s="139"/>
      <c r="C81" s="139"/>
    </row>
  </sheetData>
  <mergeCells count="5">
    <mergeCell ref="A1:N1"/>
    <mergeCell ref="A2:N2"/>
    <mergeCell ref="A3:N3"/>
    <mergeCell ref="D5:F5"/>
    <mergeCell ref="L5:N5"/>
  </mergeCells>
  <pageMargins left="0.75" right="0.75" top="0.71" bottom="0.75" header="0" footer="0"/>
  <pageSetup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zoomScale="130" workbookViewId="0">
      <selection activeCell="L65" sqref="L65"/>
    </sheetView>
  </sheetViews>
  <sheetFormatPr baseColWidth="10" defaultRowHeight="12.75" x14ac:dyDescent="0.2"/>
  <cols>
    <col min="1" max="1" width="1.7109375" style="47" customWidth="1"/>
    <col min="2" max="2" width="2" style="48" customWidth="1"/>
    <col min="3" max="3" width="31.85546875" style="48" customWidth="1"/>
    <col min="4" max="4" width="0.140625" style="48" hidden="1" customWidth="1"/>
    <col min="5" max="5" width="13.28515625" style="48" hidden="1" customWidth="1"/>
    <col min="6" max="6" width="12" style="48" hidden="1" customWidth="1"/>
    <col min="7" max="7" width="5.7109375" style="48" hidden="1" customWidth="1"/>
    <col min="8" max="8" width="14.85546875" style="48" hidden="1" customWidth="1"/>
    <col min="9" max="9" width="13.28515625" style="48" hidden="1" customWidth="1"/>
    <col min="10" max="10" width="14.85546875" style="49" hidden="1" customWidth="1"/>
    <col min="11" max="11" width="6.85546875" style="4" hidden="1" customWidth="1"/>
    <col min="12" max="12" width="15.28515625" style="4" customWidth="1"/>
    <col min="13" max="13" width="15.140625" style="4" bestFit="1" customWidth="1"/>
    <col min="14" max="14" width="14.7109375" style="4" customWidth="1"/>
    <col min="15" max="16384" width="11.42578125" style="4"/>
  </cols>
  <sheetData>
    <row r="1" spans="1:14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6.5" thickBo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3.5" thickBot="1" x14ac:dyDescent="0.25">
      <c r="A4" s="8"/>
      <c r="B4" s="9"/>
      <c r="C4" s="9"/>
      <c r="D4" s="10"/>
      <c r="E4" s="10"/>
      <c r="F4" s="11"/>
      <c r="G4" s="12"/>
      <c r="H4" s="13"/>
      <c r="I4" s="14"/>
      <c r="J4" s="15"/>
      <c r="K4" s="16"/>
      <c r="L4" s="10"/>
      <c r="M4" s="10"/>
      <c r="N4" s="11"/>
    </row>
    <row r="5" spans="1:14" ht="16.5" thickBot="1" x14ac:dyDescent="0.3">
      <c r="A5" s="17"/>
      <c r="B5" s="18"/>
      <c r="C5" s="19"/>
      <c r="D5" s="20" t="s">
        <v>74</v>
      </c>
      <c r="E5" s="21"/>
      <c r="F5" s="22"/>
      <c r="G5" s="23">
        <v>0</v>
      </c>
      <c r="H5" s="24" t="s">
        <v>4</v>
      </c>
      <c r="I5" s="25"/>
      <c r="J5" s="26"/>
      <c r="K5" s="27"/>
      <c r="L5" s="20" t="s">
        <v>75</v>
      </c>
      <c r="M5" s="21"/>
      <c r="N5" s="22"/>
    </row>
    <row r="6" spans="1:14" x14ac:dyDescent="0.2">
      <c r="A6" s="28"/>
      <c r="B6" s="29"/>
      <c r="C6" s="30"/>
      <c r="D6" s="31" t="s">
        <v>6</v>
      </c>
      <c r="E6" s="32" t="s">
        <v>7</v>
      </c>
      <c r="F6" s="33" t="s">
        <v>8</v>
      </c>
      <c r="G6" s="34"/>
      <c r="H6" s="35" t="s">
        <v>6</v>
      </c>
      <c r="I6" s="32" t="s">
        <v>7</v>
      </c>
      <c r="J6" s="36" t="s">
        <v>8</v>
      </c>
      <c r="K6" s="37"/>
      <c r="L6" s="31" t="s">
        <v>6</v>
      </c>
      <c r="M6" s="32" t="s">
        <v>7</v>
      </c>
      <c r="N6" s="36" t="s">
        <v>8</v>
      </c>
    </row>
    <row r="7" spans="1:14" x14ac:dyDescent="0.2">
      <c r="A7" s="38" t="s">
        <v>9</v>
      </c>
      <c r="B7" s="39"/>
      <c r="C7" s="40"/>
      <c r="D7" s="41"/>
      <c r="E7" s="42"/>
      <c r="F7" s="43"/>
      <c r="G7" s="44"/>
      <c r="H7" s="45"/>
      <c r="I7" s="42"/>
      <c r="J7" s="46"/>
      <c r="K7" s="37"/>
      <c r="L7" s="41"/>
      <c r="M7" s="42"/>
      <c r="N7" s="46"/>
    </row>
    <row r="8" spans="1:14" x14ac:dyDescent="0.2">
      <c r="A8" s="47" t="s">
        <v>10</v>
      </c>
      <c r="C8" s="49"/>
      <c r="D8" s="50">
        <f>39277000+2626000</f>
        <v>41903000</v>
      </c>
      <c r="E8" s="51">
        <f>SUM([5]rdo!E6)</f>
        <v>39277000</v>
      </c>
      <c r="F8" s="52">
        <f t="shared" ref="F8:F25" si="0">+D8-E8</f>
        <v>2626000</v>
      </c>
      <c r="G8" s="44"/>
      <c r="H8" s="53">
        <f>SUM(D8+[2]Hoja1!$I$8)</f>
        <v>349463118</v>
      </c>
      <c r="I8" s="51">
        <f>SUM(E8+[2]Hoja1!$J$8)</f>
        <v>39277000</v>
      </c>
      <c r="J8" s="54">
        <f>SUM(H8-I8)</f>
        <v>310186118</v>
      </c>
      <c r="K8" s="37"/>
      <c r="L8" s="50">
        <f>405691791+2626000+6936000+6936000+1147000</f>
        <v>423336791</v>
      </c>
      <c r="M8" s="51">
        <v>405691791</v>
      </c>
      <c r="N8" s="52">
        <f t="shared" ref="N8:N18" si="1">SUM(L8-M8)</f>
        <v>17645000</v>
      </c>
    </row>
    <row r="9" spans="1:14" x14ac:dyDescent="0.2">
      <c r="A9" s="47" t="s">
        <v>11</v>
      </c>
      <c r="C9" s="49"/>
      <c r="D9" s="41">
        <f>14409850+14409845</f>
        <v>28819695</v>
      </c>
      <c r="E9" s="51">
        <f>SUM([5]rdo!E7)</f>
        <v>14409850</v>
      </c>
      <c r="F9" s="52">
        <f t="shared" si="0"/>
        <v>14409845</v>
      </c>
      <c r="G9" s="44"/>
      <c r="H9" s="55">
        <f>SUM(D9+[2]Hoja1!$I$9)</f>
        <v>238700776</v>
      </c>
      <c r="I9" s="42">
        <f>SUM(E9+[2]Hoja1!$J$9)</f>
        <v>14409850</v>
      </c>
      <c r="J9" s="56">
        <f>SUM(H9-I9)</f>
        <v>224290926</v>
      </c>
      <c r="K9" s="37"/>
      <c r="L9" s="41">
        <f>244967443+14409849</f>
        <v>259377292</v>
      </c>
      <c r="M9" s="42">
        <v>244967443</v>
      </c>
      <c r="N9" s="52">
        <f>+L9-M9</f>
        <v>14409849</v>
      </c>
    </row>
    <row r="10" spans="1:14" x14ac:dyDescent="0.2">
      <c r="A10" s="47" t="s">
        <v>12</v>
      </c>
      <c r="C10" s="49"/>
      <c r="D10" s="41">
        <f>+E10</f>
        <v>0</v>
      </c>
      <c r="E10" s="42">
        <f>SUM([5]rdo!E8)</f>
        <v>0</v>
      </c>
      <c r="F10" s="52">
        <f t="shared" si="0"/>
        <v>0</v>
      </c>
      <c r="G10" s="44"/>
      <c r="H10" s="55"/>
      <c r="I10" s="42"/>
      <c r="J10" s="56"/>
      <c r="K10" s="37"/>
      <c r="L10" s="41">
        <f>+M10</f>
        <v>0</v>
      </c>
      <c r="M10" s="42">
        <v>0</v>
      </c>
      <c r="N10" s="52">
        <f t="shared" si="1"/>
        <v>0</v>
      </c>
    </row>
    <row r="11" spans="1:14" x14ac:dyDescent="0.2">
      <c r="B11" s="29" t="s">
        <v>13</v>
      </c>
      <c r="C11" s="49"/>
      <c r="D11" s="57">
        <f>SUM(D8:D10)</f>
        <v>70722695</v>
      </c>
      <c r="E11" s="58">
        <f>SUM(E8:E10)</f>
        <v>53686850</v>
      </c>
      <c r="F11" s="59">
        <f t="shared" si="0"/>
        <v>17035845</v>
      </c>
      <c r="G11" s="60"/>
      <c r="H11" s="61">
        <f>SUM(H8:H9)</f>
        <v>588163894</v>
      </c>
      <c r="I11" s="58">
        <f>SUM(I8:I9)</f>
        <v>53686850</v>
      </c>
      <c r="J11" s="62">
        <f>SUM(J8:J9)</f>
        <v>534477044</v>
      </c>
      <c r="K11" s="37"/>
      <c r="L11" s="57">
        <f>SUM(L8:L10)</f>
        <v>682714083</v>
      </c>
      <c r="M11" s="57">
        <v>650659234</v>
      </c>
      <c r="N11" s="59">
        <f t="shared" si="1"/>
        <v>32054849</v>
      </c>
    </row>
    <row r="12" spans="1:14" x14ac:dyDescent="0.2">
      <c r="A12" s="47" t="s">
        <v>14</v>
      </c>
      <c r="C12" s="49"/>
      <c r="D12" s="50">
        <f>+E12</f>
        <v>2663139.92</v>
      </c>
      <c r="E12" s="51">
        <f>SUM([5]rdo!E10)</f>
        <v>2663139.92</v>
      </c>
      <c r="F12" s="52">
        <f t="shared" si="0"/>
        <v>0</v>
      </c>
      <c r="G12" s="44"/>
      <c r="H12" s="53">
        <f>SUM(D12+[2]Hoja1!$I$11)</f>
        <v>520104338.92000002</v>
      </c>
      <c r="I12" s="51">
        <f>SUM(E12+[2]Hoja1!$J$11)</f>
        <v>2663139.92</v>
      </c>
      <c r="J12" s="54">
        <f t="shared" ref="J12:J25" si="2">SUM(H12-I12)</f>
        <v>517441199</v>
      </c>
      <c r="K12" s="37"/>
      <c r="L12" s="50">
        <f>+M12</f>
        <v>24361336.940000005</v>
      </c>
      <c r="M12" s="51">
        <v>24361336.940000005</v>
      </c>
      <c r="N12" s="52">
        <f t="shared" si="1"/>
        <v>0</v>
      </c>
    </row>
    <row r="13" spans="1:14" x14ac:dyDescent="0.2">
      <c r="A13" s="47" t="s">
        <v>15</v>
      </c>
      <c r="C13" s="49"/>
      <c r="D13" s="41">
        <f>+E13</f>
        <v>830949.38</v>
      </c>
      <c r="E13" s="42">
        <f>SUM([5]rdo!E11)</f>
        <v>830949.38</v>
      </c>
      <c r="F13" s="52">
        <f t="shared" si="0"/>
        <v>0</v>
      </c>
      <c r="G13" s="44"/>
      <c r="H13" s="55">
        <f>SUM(D13+[2]Hoja1!$I$12)</f>
        <v>33537693.52</v>
      </c>
      <c r="I13" s="42">
        <f>SUM(E13+[2]Hoja1!$J$12)</f>
        <v>831106.38</v>
      </c>
      <c r="J13" s="56">
        <f t="shared" si="2"/>
        <v>32706587.140000001</v>
      </c>
      <c r="K13" s="37"/>
      <c r="L13" s="41">
        <f>+M13</f>
        <v>6412004.5</v>
      </c>
      <c r="M13" s="42">
        <v>6412004.5</v>
      </c>
      <c r="N13" s="52">
        <f t="shared" si="1"/>
        <v>0</v>
      </c>
    </row>
    <row r="14" spans="1:14" x14ac:dyDescent="0.2">
      <c r="A14" s="47" t="s">
        <v>16</v>
      </c>
      <c r="C14" s="49"/>
      <c r="D14" s="63">
        <f>+E14</f>
        <v>0</v>
      </c>
      <c r="E14" s="64">
        <f>SUM([5]rdo!E12)</f>
        <v>0</v>
      </c>
      <c r="F14" s="52">
        <f t="shared" si="0"/>
        <v>0</v>
      </c>
      <c r="G14" s="44"/>
      <c r="H14" s="55">
        <f>SUM(D14+[2]Hoja1!$I$13)</f>
        <v>10243264.48</v>
      </c>
      <c r="I14" s="42">
        <f>SUM(E14+[2]Hoja1!$J$13)</f>
        <v>228</v>
      </c>
      <c r="J14" s="56">
        <f t="shared" si="2"/>
        <v>10243036.48</v>
      </c>
      <c r="K14" s="37"/>
      <c r="L14" s="41">
        <f>+M14</f>
        <v>0</v>
      </c>
      <c r="M14" s="42">
        <v>0</v>
      </c>
      <c r="N14" s="52">
        <f t="shared" si="1"/>
        <v>0</v>
      </c>
    </row>
    <row r="15" spans="1:14" x14ac:dyDescent="0.2">
      <c r="A15" s="47" t="s">
        <v>17</v>
      </c>
      <c r="C15" s="49"/>
      <c r="D15" s="41">
        <f>+E15</f>
        <v>866037.19</v>
      </c>
      <c r="E15" s="42">
        <f>SUM([5]rdo!E13)</f>
        <v>866037.19</v>
      </c>
      <c r="F15" s="52">
        <f t="shared" si="0"/>
        <v>0</v>
      </c>
      <c r="G15" s="44"/>
      <c r="H15" s="55">
        <f>SUM(D15+[2]Hoja1!$I$14)</f>
        <v>53375084.819999993</v>
      </c>
      <c r="I15" s="42">
        <f>SUM(E15+[2]Hoja1!$J$14)</f>
        <v>866098.19</v>
      </c>
      <c r="J15" s="56">
        <f t="shared" si="2"/>
        <v>52508986.629999995</v>
      </c>
      <c r="K15" s="37"/>
      <c r="L15" s="41">
        <f>+M15</f>
        <v>14804499.609999999</v>
      </c>
      <c r="M15" s="42">
        <v>14804499.609999999</v>
      </c>
      <c r="N15" s="52">
        <f t="shared" si="1"/>
        <v>0</v>
      </c>
    </row>
    <row r="16" spans="1:14" x14ac:dyDescent="0.2">
      <c r="B16" s="29" t="s">
        <v>18</v>
      </c>
      <c r="C16" s="49"/>
      <c r="D16" s="57">
        <f>SUM(D12:D15)</f>
        <v>4360126.49</v>
      </c>
      <c r="E16" s="58">
        <f>SUM(E12:E15)</f>
        <v>4360126.49</v>
      </c>
      <c r="F16" s="59">
        <f t="shared" si="0"/>
        <v>0</v>
      </c>
      <c r="G16" s="60"/>
      <c r="H16" s="61">
        <f>SUM(H12:H15)</f>
        <v>617260381.74000001</v>
      </c>
      <c r="I16" s="58">
        <f>SUM(I12:I15)</f>
        <v>4360572.49</v>
      </c>
      <c r="J16" s="62">
        <f>SUM(J12:J15)</f>
        <v>612899809.25</v>
      </c>
      <c r="K16" s="37"/>
      <c r="L16" s="57">
        <f>SUM(L12:L15)+1</f>
        <v>45577842.050000004</v>
      </c>
      <c r="M16" s="57">
        <v>45577842.050000004</v>
      </c>
      <c r="N16" s="59">
        <f t="shared" si="1"/>
        <v>0</v>
      </c>
    </row>
    <row r="17" spans="1:15" x14ac:dyDescent="0.2">
      <c r="A17" s="47" t="s">
        <v>19</v>
      </c>
      <c r="C17" s="49"/>
      <c r="D17" s="50">
        <f>+[4]Hoja1!$AY$15</f>
        <v>19521423.197319422</v>
      </c>
      <c r="E17" s="51">
        <f>SUM([5]rdo!E15)</f>
        <v>12764912.34</v>
      </c>
      <c r="F17" s="52">
        <f t="shared" si="0"/>
        <v>6756510.8573194221</v>
      </c>
      <c r="G17" s="44"/>
      <c r="H17" s="53">
        <f>SUM(D17+[2]Hoja1!$I$16)</f>
        <v>122481924.86731942</v>
      </c>
      <c r="I17" s="51">
        <f>SUM(E17+[2]Hoja1!$J$16)</f>
        <v>12779873.34</v>
      </c>
      <c r="J17" s="54">
        <f t="shared" si="2"/>
        <v>109702051.52731942</v>
      </c>
      <c r="K17" s="37"/>
      <c r="L17" s="50">
        <f>+D17+[1]COMPRES!$L$17</f>
        <v>70090941.942462042</v>
      </c>
      <c r="M17" s="51">
        <v>61482455.269999996</v>
      </c>
      <c r="N17" s="52">
        <f t="shared" si="1"/>
        <v>8608486.6724620461</v>
      </c>
    </row>
    <row r="18" spans="1:15" x14ac:dyDescent="0.2">
      <c r="A18" s="47" t="s">
        <v>20</v>
      </c>
      <c r="C18" s="49"/>
      <c r="D18" s="65">
        <f>+[4]Hoja1!$AY$16</f>
        <v>78165290.365143821</v>
      </c>
      <c r="E18" s="42">
        <f>SUM([5]rdo!E16)</f>
        <v>89914803.5</v>
      </c>
      <c r="F18" s="52">
        <f t="shared" si="0"/>
        <v>-11749513.134856179</v>
      </c>
      <c r="G18" s="44"/>
      <c r="H18" s="45">
        <f>SUM(D18+[2]Hoja1!$I$17)</f>
        <v>123020793.51514381</v>
      </c>
      <c r="I18" s="42">
        <f>SUM(E18+[2]Hoja1!$J$17)</f>
        <v>88523061.098390311</v>
      </c>
      <c r="J18" s="56">
        <f t="shared" si="2"/>
        <v>34497732.416753501</v>
      </c>
      <c r="K18" s="37"/>
      <c r="L18" s="41">
        <f>+D18+[1]COMPRES!$L$18</f>
        <v>192775941.85048202</v>
      </c>
      <c r="M18" s="42">
        <v>190208931</v>
      </c>
      <c r="N18" s="52">
        <f t="shared" si="1"/>
        <v>2567010.8504820168</v>
      </c>
    </row>
    <row r="19" spans="1:15" x14ac:dyDescent="0.2">
      <c r="A19" s="47" t="s">
        <v>21</v>
      </c>
      <c r="C19" s="49"/>
      <c r="D19" s="65">
        <f>+[4]Hoja1!$AY$17</f>
        <v>12750220.71917008</v>
      </c>
      <c r="E19" s="42">
        <f>SUM([5]rdo!E17)+[5]rdo!E18</f>
        <v>21513259.48</v>
      </c>
      <c r="F19" s="52">
        <f t="shared" si="0"/>
        <v>-8763038.7608299199</v>
      </c>
      <c r="G19" s="44"/>
      <c r="H19" s="45">
        <f>SUM(D19+[2]Hoja1!$I$18)</f>
        <v>102512672.46917008</v>
      </c>
      <c r="I19" s="42">
        <f>SUM(E19+[2]Hoja1!$J$18)</f>
        <v>21369747.821216594</v>
      </c>
      <c r="J19" s="56">
        <f t="shared" si="2"/>
        <v>81142924.64795348</v>
      </c>
      <c r="K19" s="37"/>
      <c r="L19" s="41">
        <f>+D19+[1]COMPRES!$L$19</f>
        <v>59513146.958304122</v>
      </c>
      <c r="M19" s="42">
        <v>64643621.129999995</v>
      </c>
      <c r="N19" s="52">
        <f t="shared" ref="N19:N25" si="3">SUM(L19-M19)</f>
        <v>-5130474.1716958731</v>
      </c>
    </row>
    <row r="20" spans="1:15" x14ac:dyDescent="0.2">
      <c r="A20" s="47" t="s">
        <v>22</v>
      </c>
      <c r="C20" s="49"/>
      <c r="D20" s="65">
        <f>+[4]Hoja1!$AY$18</f>
        <v>935470.82933561038</v>
      </c>
      <c r="E20" s="42">
        <f>SUM([5]rdo!E19)</f>
        <v>395303</v>
      </c>
      <c r="F20" s="52">
        <f t="shared" si="0"/>
        <v>540167.82933561038</v>
      </c>
      <c r="G20" s="44"/>
      <c r="H20" s="45">
        <f>SUM(D20+[2]Hoja1!$I$20)</f>
        <v>7391559.8293356104</v>
      </c>
      <c r="I20" s="42">
        <f>SUM(E20+[2]Hoja1!$J$20)</f>
        <v>-429569.64402966667</v>
      </c>
      <c r="J20" s="56">
        <f t="shared" si="2"/>
        <v>7821129.4733652771</v>
      </c>
      <c r="K20" s="37"/>
      <c r="L20" s="41">
        <f>+D20+[1]COMPRES!$L$20</f>
        <v>6691457.4057197794</v>
      </c>
      <c r="M20" s="42">
        <v>4913439</v>
      </c>
      <c r="N20" s="52">
        <f t="shared" si="3"/>
        <v>1778018.4057197794</v>
      </c>
      <c r="O20" s="66"/>
    </row>
    <row r="21" spans="1:15" x14ac:dyDescent="0.2">
      <c r="A21" s="47" t="s">
        <v>23</v>
      </c>
      <c r="C21" s="49"/>
      <c r="D21" s="65">
        <f>+[4]Hoja1!$AY$19</f>
        <v>549459.641581923</v>
      </c>
      <c r="E21" s="42">
        <f>SUM([5]rdo!E20)</f>
        <v>387238.28</v>
      </c>
      <c r="F21" s="52">
        <f t="shared" si="0"/>
        <v>162221.36158192297</v>
      </c>
      <c r="G21" s="44"/>
      <c r="H21" s="45">
        <f>SUM(D21+[2]Hoja1!$I$21)</f>
        <v>3615950.1415819228</v>
      </c>
      <c r="I21" s="42">
        <f>SUM(E21+[2]Hoja1!$J$21)</f>
        <v>-449926.75425335462</v>
      </c>
      <c r="J21" s="56">
        <f t="shared" si="2"/>
        <v>4065876.8958352776</v>
      </c>
      <c r="K21" s="37"/>
      <c r="L21" s="41">
        <f>+D21+[1]COMPRES!$L$21</f>
        <v>2826319.526477308</v>
      </c>
      <c r="M21" s="42">
        <v>1589594.9600000002</v>
      </c>
      <c r="N21" s="52">
        <f t="shared" si="3"/>
        <v>1236724.5664773078</v>
      </c>
    </row>
    <row r="22" spans="1:15" x14ac:dyDescent="0.2">
      <c r="A22" s="47" t="s">
        <v>24</v>
      </c>
      <c r="C22" s="49"/>
      <c r="D22" s="65">
        <f>+[4]Hoja1!$AY$20</f>
        <v>322492.15513889788</v>
      </c>
      <c r="E22" s="42">
        <f>SUM([5]rdo!E21)</f>
        <v>1455949.28</v>
      </c>
      <c r="F22" s="52">
        <f t="shared" si="0"/>
        <v>-1133457.1248611021</v>
      </c>
      <c r="G22" s="44"/>
      <c r="H22" s="45">
        <f>SUM(D22+[2]Hoja1!$I$22)</f>
        <v>14286439.135138899</v>
      </c>
      <c r="I22" s="42">
        <f>SUM(E22+[2]Hoja1!$J$22)</f>
        <v>6932539.3817196479</v>
      </c>
      <c r="J22" s="56">
        <f t="shared" si="2"/>
        <v>7353899.7534192512</v>
      </c>
      <c r="K22" s="37"/>
      <c r="L22" s="41">
        <f>+D22+[1]COMPRES!$L$22</f>
        <v>22503287.076870386</v>
      </c>
      <c r="M22" s="42">
        <v>23461600.09</v>
      </c>
      <c r="N22" s="52">
        <f t="shared" si="3"/>
        <v>-958313.01312961429</v>
      </c>
    </row>
    <row r="23" spans="1:15" x14ac:dyDescent="0.2">
      <c r="A23" s="47" t="s">
        <v>25</v>
      </c>
      <c r="C23" s="49"/>
      <c r="D23" s="65">
        <f>+[4]Hoja1!$AY$21</f>
        <v>500470.01217814733</v>
      </c>
      <c r="E23" s="42">
        <f>SUM([5]rdo!E22)</f>
        <v>344503.11</v>
      </c>
      <c r="F23" s="52">
        <f t="shared" si="0"/>
        <v>155966.90217814734</v>
      </c>
      <c r="G23" s="44"/>
      <c r="H23" s="45">
        <f>SUM(D23+[2]Hoja1!$I$23)</f>
        <v>1728400.7821781472</v>
      </c>
      <c r="I23" s="42">
        <f>SUM(E23+[2]Hoja1!$J$23)</f>
        <v>1528620.3899068641</v>
      </c>
      <c r="J23" s="56">
        <f t="shared" si="2"/>
        <v>199780.39227128308</v>
      </c>
      <c r="K23" s="37"/>
      <c r="L23" s="41">
        <f>+D23+[1]COMPRES!$L$23</f>
        <v>3524622.3466423103</v>
      </c>
      <c r="M23" s="42">
        <v>2624654.6799999997</v>
      </c>
      <c r="N23" s="52">
        <f t="shared" si="3"/>
        <v>899967.66664231056</v>
      </c>
    </row>
    <row r="24" spans="1:15" x14ac:dyDescent="0.2">
      <c r="A24" s="47" t="s">
        <v>26</v>
      </c>
      <c r="C24" s="49"/>
      <c r="D24" s="65">
        <f>+[4]Hoja1!$AY$22</f>
        <v>489559.14538247813</v>
      </c>
      <c r="E24" s="42">
        <f>SUM([5]rdo!E23)</f>
        <v>463374.79</v>
      </c>
      <c r="F24" s="52">
        <f t="shared" si="0"/>
        <v>26184.355382478156</v>
      </c>
      <c r="G24" s="44"/>
      <c r="H24" s="45">
        <f>SUM(D24+[2]Hoja1!$I$24)</f>
        <v>5082534.9353824779</v>
      </c>
      <c r="I24" s="42">
        <f>SUM(E24+[2]Hoja1!$J$24)</f>
        <v>-762542.37069674674</v>
      </c>
      <c r="J24" s="56">
        <f t="shared" si="2"/>
        <v>5845077.3060792247</v>
      </c>
      <c r="K24" s="37"/>
      <c r="L24" s="41">
        <f>+D24+[1]COMPRES!$L$24</f>
        <v>3890133.7544961721</v>
      </c>
      <c r="M24" s="42">
        <v>4239590.3499999996</v>
      </c>
      <c r="N24" s="52">
        <f t="shared" si="3"/>
        <v>-349456.59550382756</v>
      </c>
    </row>
    <row r="25" spans="1:15" x14ac:dyDescent="0.2">
      <c r="A25" s="47" t="s">
        <v>27</v>
      </c>
      <c r="C25" s="49"/>
      <c r="D25" s="65">
        <f>+[4]Hoja1!$AY$23</f>
        <v>5158718.5814727042</v>
      </c>
      <c r="E25" s="42">
        <f>SUM([5]rdo!E24)</f>
        <v>5733196.1600000001</v>
      </c>
      <c r="F25" s="52">
        <f t="shared" si="0"/>
        <v>-574477.57852729596</v>
      </c>
      <c r="G25" s="44"/>
      <c r="H25" s="67">
        <f>SUM(D25+[2]Hoja1!$I$25)</f>
        <v>25603895.591472708</v>
      </c>
      <c r="I25" s="42">
        <f>SUM(E25+[2]Hoja1!$J$25)</f>
        <v>-7498482.5111730844</v>
      </c>
      <c r="J25" s="56">
        <f t="shared" si="2"/>
        <v>33102378.102645792</v>
      </c>
      <c r="K25" s="37"/>
      <c r="L25" s="41">
        <f>+D25+[1]COMPRES!$L$25-1</f>
        <v>22942233.582649939</v>
      </c>
      <c r="M25" s="42">
        <v>23154128.07</v>
      </c>
      <c r="N25" s="52">
        <f t="shared" si="3"/>
        <v>-211894.48735006154</v>
      </c>
    </row>
    <row r="26" spans="1:15" x14ac:dyDescent="0.2">
      <c r="B26" s="29" t="s">
        <v>28</v>
      </c>
      <c r="C26" s="49"/>
      <c r="D26" s="57">
        <f>SUM(D17:D25)</f>
        <v>118393104.64672309</v>
      </c>
      <c r="E26" s="58">
        <f>SUM(E17:E25)</f>
        <v>132972539.94000001</v>
      </c>
      <c r="F26" s="59">
        <f>+D26-E26</f>
        <v>-14579435.293276921</v>
      </c>
      <c r="G26" s="60"/>
      <c r="H26" s="61">
        <f>SUM(H17:H25)</f>
        <v>405724171.2667231</v>
      </c>
      <c r="I26" s="58">
        <f>SUM(I17:I25)</f>
        <v>121993320.75108057</v>
      </c>
      <c r="J26" s="62">
        <f>SUM(J17:J25)</f>
        <v>283730850.51564252</v>
      </c>
      <c r="K26" s="37"/>
      <c r="L26" s="57">
        <v>384758085.44410408</v>
      </c>
      <c r="M26" s="58">
        <v>376318014</v>
      </c>
      <c r="N26" s="68">
        <f>SUM(L26-M26)</f>
        <v>8440071.4441040754</v>
      </c>
    </row>
    <row r="27" spans="1:15" x14ac:dyDescent="0.2">
      <c r="C27" s="30" t="s">
        <v>29</v>
      </c>
      <c r="D27" s="69">
        <f>SUM(D26,D16,D11)</f>
        <v>193475926.1367231</v>
      </c>
      <c r="E27" s="70">
        <f>SUM(E26,E16,E11)</f>
        <v>191019516.43000001</v>
      </c>
      <c r="F27" s="71">
        <f>+D27-E27</f>
        <v>2456409.706723094</v>
      </c>
      <c r="G27" s="72"/>
      <c r="H27" s="73">
        <f>SUM(H26+H16+H11)</f>
        <v>1611148447.0067232</v>
      </c>
      <c r="I27" s="73">
        <f>SUM(I26,I16,I11)</f>
        <v>180040743.24108058</v>
      </c>
      <c r="J27" s="74">
        <f>SUM(J11+J16+J26)</f>
        <v>1431107703.7656426</v>
      </c>
      <c r="K27" s="37"/>
      <c r="L27" s="69">
        <f>SUM(L26,L16,L11)</f>
        <v>1113050010.4941041</v>
      </c>
      <c r="M27" s="70">
        <v>1072555090.05</v>
      </c>
      <c r="N27" s="71">
        <f>SUM(L27-M27)</f>
        <v>40494920.444104195</v>
      </c>
    </row>
    <row r="28" spans="1:15" x14ac:dyDescent="0.2">
      <c r="C28" s="30"/>
      <c r="D28" s="75"/>
      <c r="E28" s="76"/>
      <c r="F28" s="77"/>
      <c r="G28" s="72"/>
      <c r="H28" s="73"/>
      <c r="I28" s="78"/>
      <c r="J28" s="71">
        <v>0</v>
      </c>
      <c r="K28" s="37"/>
      <c r="L28" s="75"/>
      <c r="M28" s="76"/>
      <c r="N28" s="77"/>
    </row>
    <row r="29" spans="1:15" x14ac:dyDescent="0.2">
      <c r="B29" s="48" t="s">
        <v>30</v>
      </c>
      <c r="C29" s="30"/>
      <c r="D29" s="79">
        <f>+[4]Hoja1!$AY$28</f>
        <v>17967390.569705777</v>
      </c>
      <c r="E29" s="80">
        <f>SUM([5]rdo!E29)</f>
        <v>16771173.550000001</v>
      </c>
      <c r="F29" s="81">
        <f>+D29-E29</f>
        <v>1196217.0197057761</v>
      </c>
      <c r="G29" s="72"/>
      <c r="H29" s="55">
        <f>SUM(D29+[2]Hoja1!$I$29)</f>
        <v>38581242.69970578</v>
      </c>
      <c r="I29" s="42">
        <f>SUM(E29+[2]Hoja1!$J$29)</f>
        <v>15408974.017989453</v>
      </c>
      <c r="J29" s="82">
        <f>SUM(H29-I29)</f>
        <v>23172268.681716327</v>
      </c>
      <c r="K29" s="37"/>
      <c r="L29" s="83">
        <f>+D29+[1]COMPRES!$L$29</f>
        <v>48898454.638456665</v>
      </c>
      <c r="M29" s="80">
        <v>46321392.150000006</v>
      </c>
      <c r="N29" s="81">
        <f>SUM(L29-M29)</f>
        <v>2577062.488456659</v>
      </c>
    </row>
    <row r="30" spans="1:15" x14ac:dyDescent="0.2">
      <c r="C30" s="30" t="s">
        <v>31</v>
      </c>
      <c r="D30" s="69">
        <f>SUM(D27-D29)</f>
        <v>175508535.56701732</v>
      </c>
      <c r="E30" s="70">
        <f>SUM(E27-E29)</f>
        <v>174248342.88</v>
      </c>
      <c r="F30" s="71">
        <f>SUM(F27-F29)</f>
        <v>1260192.6870173179</v>
      </c>
      <c r="G30" s="72"/>
      <c r="H30" s="73">
        <f>SUM(H27-H29)</f>
        <v>1572567204.3070173</v>
      </c>
      <c r="I30" s="73">
        <f>SUM(I27-I29)</f>
        <v>164631769.22309113</v>
      </c>
      <c r="J30" s="74">
        <f>SUM(J27-J29)</f>
        <v>1407935435.0839262</v>
      </c>
      <c r="K30" s="37"/>
      <c r="L30" s="69">
        <f>SUM(L27-L29)-1</f>
        <v>1064151554.8556474</v>
      </c>
      <c r="M30" s="70">
        <v>1026233697.9</v>
      </c>
      <c r="N30" s="71">
        <f>+L30-M30</f>
        <v>37917856.955647469</v>
      </c>
    </row>
    <row r="31" spans="1:15" x14ac:dyDescent="0.2">
      <c r="A31" s="84" t="s">
        <v>32</v>
      </c>
      <c r="C31" s="49"/>
      <c r="D31" s="41"/>
      <c r="E31" s="85"/>
      <c r="F31" s="43"/>
      <c r="G31" s="44"/>
      <c r="H31" s="45"/>
      <c r="I31" s="42"/>
      <c r="J31" s="46"/>
      <c r="K31" s="37"/>
      <c r="L31" s="41"/>
      <c r="M31" s="42"/>
      <c r="N31" s="46"/>
    </row>
    <row r="32" spans="1:15" x14ac:dyDescent="0.2">
      <c r="A32" s="38" t="s">
        <v>33</v>
      </c>
      <c r="B32" s="86"/>
      <c r="C32" s="87"/>
      <c r="D32" s="41"/>
      <c r="E32" s="42"/>
      <c r="F32" s="43"/>
      <c r="G32" s="44"/>
      <c r="H32" s="45"/>
      <c r="I32" s="42"/>
      <c r="J32" s="46"/>
      <c r="K32" s="37"/>
      <c r="L32" s="41"/>
      <c r="M32" s="42"/>
      <c r="N32" s="46"/>
    </row>
    <row r="33" spans="1:14" x14ac:dyDescent="0.2">
      <c r="A33" s="47" t="s">
        <v>34</v>
      </c>
      <c r="C33" s="49"/>
      <c r="D33" s="88">
        <f>+[4]Hoja1!$AY$34</f>
        <v>72748074.13516064</v>
      </c>
      <c r="E33" s="89">
        <f>SUM([5]rdo!E34)</f>
        <v>75398063.890000001</v>
      </c>
      <c r="F33" s="90">
        <f t="shared" ref="F33:F75" si="4">SUM(D33-E33)</f>
        <v>-2649989.7548393607</v>
      </c>
      <c r="G33" s="44"/>
      <c r="H33" s="91">
        <f>SUM(D33+[2]Hoja1!$I$33)</f>
        <v>583650212.94516063</v>
      </c>
      <c r="I33" s="89">
        <f>SUM(E33+[2]Hoja1!$J$33)</f>
        <v>62981872.310272589</v>
      </c>
      <c r="J33" s="92">
        <f t="shared" ref="J33:J75" si="5">SUM(H33-I33)</f>
        <v>520668340.63488805</v>
      </c>
      <c r="K33" s="37"/>
      <c r="L33" s="50">
        <f>+D33+[1]COMPRES!$L$33</f>
        <v>603987707.98240387</v>
      </c>
      <c r="M33" s="51">
        <v>629623341.43999994</v>
      </c>
      <c r="N33" s="92">
        <f t="shared" ref="N33:N46" si="6">SUM(L33-M33)</f>
        <v>-25635633.457596064</v>
      </c>
    </row>
    <row r="34" spans="1:14" x14ac:dyDescent="0.2">
      <c r="A34" s="47" t="s">
        <v>35</v>
      </c>
      <c r="C34" s="49"/>
      <c r="D34" s="93">
        <f>+[4]Hoja1!$AY$35</f>
        <v>10727447.108028714</v>
      </c>
      <c r="E34" s="42">
        <f>SUM([5]rdo!E35)</f>
        <v>13610274.6</v>
      </c>
      <c r="F34" s="94">
        <f t="shared" si="4"/>
        <v>-2882827.491971286</v>
      </c>
      <c r="G34" s="44"/>
      <c r="H34" s="45">
        <f>SUM(D34+[2]Hoja1!$I$34)</f>
        <v>84577036.85802871</v>
      </c>
      <c r="I34" s="42">
        <f>SUM(E34+[2]Hoja1!$J$34)</f>
        <v>4084945.1994021442</v>
      </c>
      <c r="J34" s="56">
        <f t="shared" si="5"/>
        <v>80492091.658626571</v>
      </c>
      <c r="K34" s="37"/>
      <c r="L34" s="41">
        <f>+D34+[1]COMPRES!$L$34</f>
        <v>91446026.775374755</v>
      </c>
      <c r="M34" s="42">
        <v>93428982.729999989</v>
      </c>
      <c r="N34" s="56">
        <f t="shared" si="6"/>
        <v>-1982955.954625234</v>
      </c>
    </row>
    <row r="35" spans="1:14" x14ac:dyDescent="0.2">
      <c r="A35" s="47" t="s">
        <v>36</v>
      </c>
      <c r="C35" s="49"/>
      <c r="D35" s="93">
        <f>+[4]Hoja1!$AY$36</f>
        <v>7953534.1208859691</v>
      </c>
      <c r="E35" s="42">
        <f>SUM([5]rdo!E36)</f>
        <v>6354127.1900000004</v>
      </c>
      <c r="F35" s="94">
        <f t="shared" si="4"/>
        <v>1599406.9308859687</v>
      </c>
      <c r="G35" s="44"/>
      <c r="H35" s="45">
        <f>SUM(D35+[2]Hoja1!$I$35)</f>
        <v>39802801.320885971</v>
      </c>
      <c r="I35" s="42">
        <f>SUM(E35+[2]Hoja1!$J$35)</f>
        <v>2529869.7772483667</v>
      </c>
      <c r="J35" s="56">
        <f t="shared" si="5"/>
        <v>37272931.543637604</v>
      </c>
      <c r="K35" s="37"/>
      <c r="L35" s="41">
        <f>+D35+[1]COMPRES!$L$35</f>
        <v>44360247.772123113</v>
      </c>
      <c r="M35" s="42">
        <v>46057653.640000001</v>
      </c>
      <c r="N35" s="56">
        <f t="shared" si="6"/>
        <v>-1697405.8678768873</v>
      </c>
    </row>
    <row r="36" spans="1:14" x14ac:dyDescent="0.2">
      <c r="A36" s="47" t="s">
        <v>37</v>
      </c>
      <c r="C36" s="49"/>
      <c r="D36" s="93">
        <f>+[4]Hoja1!$AY$37</f>
        <v>8518811.4107111786</v>
      </c>
      <c r="E36" s="42">
        <f>SUM([5]rdo!E37)</f>
        <v>8715120.2699999996</v>
      </c>
      <c r="F36" s="94">
        <f t="shared" si="4"/>
        <v>-196308.859288821</v>
      </c>
      <c r="G36" s="44"/>
      <c r="H36" s="45">
        <f>SUM(D36+[2]Hoja1!$I$36)</f>
        <v>31423563.050711177</v>
      </c>
      <c r="I36" s="42">
        <f>SUM(E36+[2]Hoja1!$J$36)</f>
        <v>4845705.6887261122</v>
      </c>
      <c r="J36" s="56">
        <f t="shared" si="5"/>
        <v>26577857.361985065</v>
      </c>
      <c r="K36" s="37"/>
      <c r="L36" s="41">
        <f>+D36+[1]COMPRES!$L$36</f>
        <v>36832779.84911985</v>
      </c>
      <c r="M36" s="42">
        <v>34669177.740000002</v>
      </c>
      <c r="N36" s="56">
        <f t="shared" si="6"/>
        <v>2163602.1091198474</v>
      </c>
    </row>
    <row r="37" spans="1:14" x14ac:dyDescent="0.2">
      <c r="A37" s="47" t="s">
        <v>38</v>
      </c>
      <c r="C37" s="49"/>
      <c r="D37" s="93">
        <f>+[4]Hoja1!$AY$38</f>
        <v>3659511.4987451942</v>
      </c>
      <c r="E37" s="42">
        <f>SUM([5]rdo!E38)</f>
        <v>1927012.2</v>
      </c>
      <c r="F37" s="94">
        <f t="shared" si="4"/>
        <v>1732499.2987451942</v>
      </c>
      <c r="G37" s="44"/>
      <c r="H37" s="67">
        <f>SUM(D37+[2]Hoja1!$I$37)</f>
        <v>16721240.508745193</v>
      </c>
      <c r="I37" s="42">
        <f>SUM(E37+[2]Hoja1!$J$37)</f>
        <v>-1616132.1102735021</v>
      </c>
      <c r="J37" s="56">
        <f t="shared" si="5"/>
        <v>18337372.619018696</v>
      </c>
      <c r="K37" s="37"/>
      <c r="L37" s="41">
        <f>+D37+[1]COMPRES!$L$37</f>
        <v>25510383.895478003</v>
      </c>
      <c r="M37" s="42">
        <v>25793194.48</v>
      </c>
      <c r="N37" s="94">
        <f t="shared" si="6"/>
        <v>-282810.58452199772</v>
      </c>
    </row>
    <row r="38" spans="1:14" x14ac:dyDescent="0.2">
      <c r="A38" s="47" t="s">
        <v>39</v>
      </c>
      <c r="B38" s="95"/>
      <c r="C38" s="95"/>
      <c r="D38" s="96">
        <v>0</v>
      </c>
      <c r="E38" s="97">
        <v>0</v>
      </c>
      <c r="F38" s="98">
        <f t="shared" si="4"/>
        <v>0</v>
      </c>
      <c r="G38" s="99">
        <f>SUM(E38)</f>
        <v>0</v>
      </c>
      <c r="H38" s="100" t="e">
        <f>SUM(G38/G61)*100</f>
        <v>#DIV/0!</v>
      </c>
      <c r="I38" s="4"/>
      <c r="J38" s="4"/>
      <c r="L38" s="96">
        <v>0</v>
      </c>
      <c r="M38" s="97">
        <v>0</v>
      </c>
      <c r="N38" s="94">
        <f t="shared" si="6"/>
        <v>0</v>
      </c>
    </row>
    <row r="39" spans="1:14" x14ac:dyDescent="0.2">
      <c r="B39" s="29" t="s">
        <v>40</v>
      </c>
      <c r="C39" s="49"/>
      <c r="D39" s="57">
        <f>SUM(D33:D38)</f>
        <v>103607378.27353169</v>
      </c>
      <c r="E39" s="58">
        <f>SUM(E33:E38)</f>
        <v>106004598.14999999</v>
      </c>
      <c r="F39" s="59">
        <f t="shared" si="4"/>
        <v>-2397219.8764683008</v>
      </c>
      <c r="G39" s="60"/>
      <c r="H39" s="61">
        <f>SUM(H33:H37)</f>
        <v>756174854.68353164</v>
      </c>
      <c r="I39" s="58">
        <f>SUM(I33:I37)</f>
        <v>72826260.865375713</v>
      </c>
      <c r="J39" s="62">
        <f t="shared" si="5"/>
        <v>683348593.81815588</v>
      </c>
      <c r="K39" s="37"/>
      <c r="L39" s="57">
        <f>802137146.2745+1</f>
        <v>802137147.27450001</v>
      </c>
      <c r="M39" s="58">
        <v>829572350.02999997</v>
      </c>
      <c r="N39" s="62">
        <f t="shared" si="6"/>
        <v>-27435202.755499959</v>
      </c>
    </row>
    <row r="40" spans="1:14" x14ac:dyDescent="0.2">
      <c r="A40" s="47" t="s">
        <v>41</v>
      </c>
      <c r="C40" s="49"/>
      <c r="D40" s="88">
        <f>+[4]Hoja1!$AY$40</f>
        <v>185699.84955052269</v>
      </c>
      <c r="E40" s="101">
        <f>SUM([5]rdo!E40)</f>
        <v>92540.12</v>
      </c>
      <c r="F40" s="90">
        <f t="shared" si="4"/>
        <v>93159.729550522694</v>
      </c>
      <c r="G40" s="102"/>
      <c r="H40" s="91">
        <f>SUM(D40+[2]Hoja1!$I$39)</f>
        <v>652753176.25955045</v>
      </c>
      <c r="I40" s="89">
        <f>SUM(E40+[2]Hoja1!$J$39)</f>
        <v>-33085797.164624337</v>
      </c>
      <c r="J40" s="92">
        <f t="shared" si="5"/>
        <v>685838973.42417479</v>
      </c>
      <c r="K40" s="37"/>
      <c r="L40" s="50">
        <f>+D40+[1]COMPRES!$L$40</f>
        <v>1101174.3986767353</v>
      </c>
      <c r="M40" s="51">
        <v>811776.32000000007</v>
      </c>
      <c r="N40" s="92">
        <f t="shared" si="6"/>
        <v>289398.07867673528</v>
      </c>
    </row>
    <row r="41" spans="1:14" x14ac:dyDescent="0.2">
      <c r="A41" s="47" t="s">
        <v>42</v>
      </c>
      <c r="C41" s="49"/>
      <c r="D41" s="41">
        <f>+[4]Hoja1!$AY$41</f>
        <v>84049.959458718615</v>
      </c>
      <c r="E41" s="42">
        <f>SUM([5]rdo!E41)</f>
        <v>114410.79</v>
      </c>
      <c r="F41" s="94">
        <f t="shared" si="4"/>
        <v>-30360.830541281379</v>
      </c>
      <c r="G41" s="44"/>
      <c r="H41" s="45">
        <f>SUM(D41+[2]Hoja1!$I$40)</f>
        <v>819785.1294587187</v>
      </c>
      <c r="I41" s="42">
        <f>SUM(E41+[2]Hoja1!$J$40)</f>
        <v>399655.34788228531</v>
      </c>
      <c r="J41" s="103">
        <f t="shared" si="5"/>
        <v>420129.78157643339</v>
      </c>
      <c r="K41" s="37"/>
      <c r="L41" s="41">
        <f>+D41+[1]COMPRES!$L$41</f>
        <v>407198.7427011347</v>
      </c>
      <c r="M41" s="42">
        <v>1030034.96</v>
      </c>
      <c r="N41" s="56">
        <f t="shared" si="6"/>
        <v>-622836.21729886532</v>
      </c>
    </row>
    <row r="42" spans="1:14" x14ac:dyDescent="0.2">
      <c r="A42" s="47" t="s">
        <v>43</v>
      </c>
      <c r="C42" s="49"/>
      <c r="D42" s="41">
        <f>+[4]Hoja1!$AY$42</f>
        <v>654272.13560406596</v>
      </c>
      <c r="E42" s="42">
        <f>SUM([5]rdo!E42)</f>
        <v>512869.95</v>
      </c>
      <c r="F42" s="94">
        <f t="shared" si="4"/>
        <v>141402.18560406595</v>
      </c>
      <c r="G42" s="44"/>
      <c r="H42" s="45">
        <f>SUM(D42+[2]Hoja1!$I$41)</f>
        <v>694768.03560406598</v>
      </c>
      <c r="I42" s="42">
        <f>SUM(E42+[2]Hoja1!$J$41)</f>
        <v>533975.81214633735</v>
      </c>
      <c r="J42" s="103">
        <f t="shared" si="5"/>
        <v>160792.22345772863</v>
      </c>
      <c r="K42" s="37"/>
      <c r="L42" s="41">
        <f>+D42+[1]COMPRES!$L$42</f>
        <v>2529620.9262659797</v>
      </c>
      <c r="M42" s="42">
        <v>2706380.0600000005</v>
      </c>
      <c r="N42" s="56">
        <f t="shared" si="6"/>
        <v>-176759.13373402087</v>
      </c>
    </row>
    <row r="43" spans="1:14" x14ac:dyDescent="0.2">
      <c r="A43" s="47" t="s">
        <v>44</v>
      </c>
      <c r="C43" s="49"/>
      <c r="D43" s="41">
        <f>+[4]Hoja1!$AY$43</f>
        <v>73996.11816041627</v>
      </c>
      <c r="E43" s="42">
        <f>SUM([5]rdo!E43)</f>
        <v>115323.01</v>
      </c>
      <c r="F43" s="94">
        <f t="shared" si="4"/>
        <v>-41326.891839583725</v>
      </c>
      <c r="G43" s="44"/>
      <c r="H43" s="45">
        <f>SUM(D43+[2]Hoja1!$I$42)</f>
        <v>1681356.3181604163</v>
      </c>
      <c r="I43" s="42">
        <f>SUM(E43+[2]Hoja1!$J$42)</f>
        <v>635806.55601779697</v>
      </c>
      <c r="J43" s="103">
        <f t="shared" si="5"/>
        <v>1045549.7621426194</v>
      </c>
      <c r="K43" s="37"/>
      <c r="L43" s="41">
        <f>+D43+[1]COMPRES!$L$43</f>
        <v>160025.1174632464</v>
      </c>
      <c r="M43" s="42">
        <v>189872.03999999998</v>
      </c>
      <c r="N43" s="56">
        <f t="shared" si="6"/>
        <v>-29846.922536753584</v>
      </c>
    </row>
    <row r="44" spans="1:14" x14ac:dyDescent="0.2">
      <c r="A44" s="47" t="s">
        <v>45</v>
      </c>
      <c r="C44" s="49"/>
      <c r="D44" s="41">
        <f>+[4]Hoja1!$AY$44</f>
        <v>46286.09823844894</v>
      </c>
      <c r="E44" s="42">
        <f>SUM([5]rdo!E44)</f>
        <v>20534.900000000001</v>
      </c>
      <c r="F44" s="94">
        <f t="shared" si="4"/>
        <v>25751.198238448938</v>
      </c>
      <c r="G44" s="44"/>
      <c r="H44" s="45">
        <f>SUM(D44+[2]Hoja1!$I$43)</f>
        <v>257968.39823844892</v>
      </c>
      <c r="I44" s="42">
        <f>SUM(E44+[2]Hoja1!$J$43)</f>
        <v>114432.63088282969</v>
      </c>
      <c r="J44" s="103">
        <f t="shared" si="5"/>
        <v>143535.76735561923</v>
      </c>
      <c r="K44" s="37"/>
      <c r="L44" s="41">
        <f>+D44+[1]COMPRES!$L$44</f>
        <v>436337.10996400047</v>
      </c>
      <c r="M44" s="42">
        <v>430797.22</v>
      </c>
      <c r="N44" s="56">
        <f t="shared" si="6"/>
        <v>5539.8899640004965</v>
      </c>
    </row>
    <row r="45" spans="1:14" x14ac:dyDescent="0.2">
      <c r="A45" s="47" t="s">
        <v>46</v>
      </c>
      <c r="C45" s="49"/>
      <c r="D45" s="41">
        <f>+[4]Hoja1!$AY$45</f>
        <v>0</v>
      </c>
      <c r="E45" s="104">
        <f>+[5]rdo!E45</f>
        <v>0</v>
      </c>
      <c r="F45" s="94">
        <f t="shared" si="4"/>
        <v>0</v>
      </c>
      <c r="G45" s="105"/>
      <c r="H45" s="106">
        <f>SUM(D45+[2]Hoja1!$I$44)</f>
        <v>290385.82999999996</v>
      </c>
      <c r="I45" s="104">
        <f>SUM(E45+[2]Hoja1!$J$44)</f>
        <v>169352.92368459678</v>
      </c>
      <c r="J45" s="107">
        <f t="shared" si="5"/>
        <v>121032.90631540318</v>
      </c>
      <c r="K45" s="37"/>
      <c r="L45" s="41">
        <f>+D45+[1]COMPRES!$L$45</f>
        <v>0.01</v>
      </c>
      <c r="M45" s="42">
        <v>0</v>
      </c>
      <c r="N45" s="56">
        <f t="shared" si="6"/>
        <v>0.01</v>
      </c>
    </row>
    <row r="46" spans="1:14" x14ac:dyDescent="0.2">
      <c r="A46" s="47" t="s">
        <v>47</v>
      </c>
      <c r="C46" s="49"/>
      <c r="D46" s="41">
        <f>+[4]Hoja1!$AY$46</f>
        <v>13130.481296328191</v>
      </c>
      <c r="E46" s="42">
        <f>SUM([5]rdo!E46)</f>
        <v>14743.19</v>
      </c>
      <c r="F46" s="94">
        <f t="shared" si="4"/>
        <v>-1612.7087036718094</v>
      </c>
      <c r="G46" s="44"/>
      <c r="H46" s="45">
        <f>SUM(D46+[2]Hoja1!$I$45)</f>
        <v>13130.481296328191</v>
      </c>
      <c r="I46" s="42">
        <f>SUM(E46+[2]Hoja1!$J$45)</f>
        <v>14743.19</v>
      </c>
      <c r="J46" s="103">
        <f t="shared" si="5"/>
        <v>-1612.7087036718094</v>
      </c>
      <c r="K46" s="37"/>
      <c r="L46" s="41">
        <f>+D46+[1]COMPRES!$L$46</f>
        <v>127438.78791426226</v>
      </c>
      <c r="M46" s="42">
        <v>189835.19</v>
      </c>
      <c r="N46" s="56">
        <f t="shared" si="6"/>
        <v>-62396.402085737747</v>
      </c>
    </row>
    <row r="47" spans="1:14" x14ac:dyDescent="0.2">
      <c r="A47" s="47" t="s">
        <v>48</v>
      </c>
      <c r="C47" s="49"/>
      <c r="D47" s="41">
        <f>+[4]Hoja1!$AY$47</f>
        <v>110007.08447338875</v>
      </c>
      <c r="E47" s="108">
        <f>SUM([5]rdo!E47)</f>
        <v>10248.59</v>
      </c>
      <c r="F47" s="94">
        <f>SUM(D47-E47)</f>
        <v>99758.494473388753</v>
      </c>
      <c r="G47" s="44"/>
      <c r="H47" s="45">
        <f>SUM(D47+[2]Hoja1!$I$46)</f>
        <v>257902.08447338874</v>
      </c>
      <c r="I47" s="42">
        <f>SUM(E47+[2]Hoja1!$J$46)</f>
        <v>218965.19819465137</v>
      </c>
      <c r="J47" s="56">
        <f t="shared" si="5"/>
        <v>38936.886278737366</v>
      </c>
      <c r="K47" s="37"/>
      <c r="L47" s="41">
        <f>+D47+[1]COMPRES!$L$47</f>
        <v>210134.90254769687</v>
      </c>
      <c r="M47" s="42">
        <v>50465.7</v>
      </c>
      <c r="N47" s="56">
        <f t="shared" ref="N47:N62" si="7">SUM(L47-M47)</f>
        <v>159669.20254769688</v>
      </c>
    </row>
    <row r="48" spans="1:14" x14ac:dyDescent="0.2">
      <c r="B48" s="29" t="s">
        <v>49</v>
      </c>
      <c r="C48" s="49"/>
      <c r="D48" s="57">
        <f>SUM(D40:D47)</f>
        <v>1167441.7267818893</v>
      </c>
      <c r="E48" s="109">
        <f>SUM(E40:E47)</f>
        <v>880670.54999999993</v>
      </c>
      <c r="F48" s="59">
        <f t="shared" si="4"/>
        <v>286771.1767818894</v>
      </c>
      <c r="G48" s="60"/>
      <c r="H48" s="61">
        <f>SUM(H40:H47)</f>
        <v>656768472.53678179</v>
      </c>
      <c r="I48" s="58">
        <f>SUM(I40:I47)</f>
        <v>-30998865.505815838</v>
      </c>
      <c r="J48" s="62">
        <f t="shared" si="5"/>
        <v>687767338.04259765</v>
      </c>
      <c r="K48" s="37"/>
      <c r="L48" s="57">
        <f>SUM(L40:L47)</f>
        <v>4971929.9955330547</v>
      </c>
      <c r="M48" s="109">
        <v>5409161.4900000012</v>
      </c>
      <c r="N48" s="62">
        <f t="shared" si="7"/>
        <v>-437231.49446694646</v>
      </c>
    </row>
    <row r="49" spans="1:15" x14ac:dyDescent="0.2">
      <c r="C49" s="30" t="s">
        <v>50</v>
      </c>
      <c r="D49" s="110">
        <f>SUM(D48,D39)</f>
        <v>104774820.00031358</v>
      </c>
      <c r="E49" s="109">
        <f>SUM(E48,E39)</f>
        <v>106885268.69999999</v>
      </c>
      <c r="F49" s="59">
        <f t="shared" si="4"/>
        <v>-2110448.699686408</v>
      </c>
      <c r="G49" s="111"/>
      <c r="H49" s="112">
        <f>SUM(H48,H39)</f>
        <v>1412943327.2203135</v>
      </c>
      <c r="I49" s="109">
        <f>SUM(I48,I39)</f>
        <v>41827395.359559879</v>
      </c>
      <c r="J49" s="62">
        <f t="shared" si="5"/>
        <v>1371115931.8607538</v>
      </c>
      <c r="K49" s="37"/>
      <c r="L49" s="110">
        <f>SUM(L48,L39)</f>
        <v>807109077.27003312</v>
      </c>
      <c r="M49" s="109">
        <v>834981510.51999998</v>
      </c>
      <c r="N49" s="62">
        <f t="shared" si="7"/>
        <v>-27872433.24996686</v>
      </c>
    </row>
    <row r="50" spans="1:15" x14ac:dyDescent="0.2">
      <c r="A50" s="47" t="s">
        <v>51</v>
      </c>
      <c r="C50" s="49"/>
      <c r="D50" s="91">
        <v>85000</v>
      </c>
      <c r="E50" s="89">
        <f>+[5]IYE!S51</f>
        <v>5463.6</v>
      </c>
      <c r="F50" s="90">
        <f t="shared" si="4"/>
        <v>79536.399999999994</v>
      </c>
      <c r="G50" s="102"/>
      <c r="H50" s="91">
        <f>SUM(D50+[2]Hoja1!$I$49)</f>
        <v>655824271.24000001</v>
      </c>
      <c r="I50" s="89">
        <f>SUM(E50+[2]Hoja1!$J$49)</f>
        <v>-31913240.551584147</v>
      </c>
      <c r="J50" s="92">
        <f t="shared" si="5"/>
        <v>687737511.79158413</v>
      </c>
      <c r="K50" s="37"/>
      <c r="L50" s="50">
        <f>+D50+[1]COMPRES!$L$50</f>
        <v>340000</v>
      </c>
      <c r="M50" s="51">
        <v>79773.600000000006</v>
      </c>
      <c r="N50" s="92">
        <f t="shared" si="7"/>
        <v>260226.4</v>
      </c>
    </row>
    <row r="51" spans="1:15" x14ac:dyDescent="0.2">
      <c r="A51" s="47" t="s">
        <v>52</v>
      </c>
      <c r="C51" s="49"/>
      <c r="D51" s="55">
        <v>0</v>
      </c>
      <c r="E51" s="113">
        <f>+[5]IYE!S52</f>
        <v>8518.44</v>
      </c>
      <c r="F51" s="94">
        <f>SUM(D51-E51)</f>
        <v>-8518.44</v>
      </c>
      <c r="G51" s="102"/>
      <c r="H51" s="55">
        <f>SUM(D51+[2]Hoja1!$I$50)</f>
        <v>168000</v>
      </c>
      <c r="I51" s="42">
        <f>SUM(E51+[2]Hoja1!$J$50)</f>
        <v>45018.44</v>
      </c>
      <c r="J51" s="56">
        <f t="shared" si="5"/>
        <v>122981.56</v>
      </c>
      <c r="K51" s="37"/>
      <c r="L51" s="41">
        <f>+D51+[1]COMPRES!$L$51</f>
        <v>100000</v>
      </c>
      <c r="M51" s="42">
        <v>100747.72</v>
      </c>
      <c r="N51" s="56">
        <f t="shared" si="7"/>
        <v>-747.72000000000116</v>
      </c>
    </row>
    <row r="52" spans="1:15" x14ac:dyDescent="0.2">
      <c r="A52" s="47" t="s">
        <v>53</v>
      </c>
      <c r="C52" s="49"/>
      <c r="D52" s="55">
        <v>0</v>
      </c>
      <c r="E52" s="113">
        <f>+[5]IYE!S53</f>
        <v>0</v>
      </c>
      <c r="F52" s="94">
        <f t="shared" si="4"/>
        <v>0</v>
      </c>
      <c r="G52" s="102"/>
      <c r="H52" s="55">
        <f>SUM(D52+[2]Hoja1!$I$51)</f>
        <v>181001.05</v>
      </c>
      <c r="I52" s="64">
        <f>SUM(E52+[2]Hoja1!$J$51)</f>
        <v>358031.95</v>
      </c>
      <c r="J52" s="56">
        <f t="shared" si="5"/>
        <v>-177030.90000000002</v>
      </c>
      <c r="K52" s="37"/>
      <c r="L52" s="41">
        <f>+D52+[1]COMPRES!$L$52</f>
        <v>0</v>
      </c>
      <c r="M52" s="42">
        <v>0</v>
      </c>
      <c r="N52" s="56">
        <f t="shared" si="7"/>
        <v>0</v>
      </c>
    </row>
    <row r="53" spans="1:15" x14ac:dyDescent="0.2">
      <c r="A53" s="47" t="s">
        <v>54</v>
      </c>
      <c r="C53" s="49"/>
      <c r="D53" s="55">
        <v>1409751</v>
      </c>
      <c r="E53" s="113">
        <f>+[5]IYE!S54</f>
        <v>4638938.5599999996</v>
      </c>
      <c r="F53" s="94">
        <f t="shared" si="4"/>
        <v>-3229187.5599999996</v>
      </c>
      <c r="G53" s="102"/>
      <c r="H53" s="55">
        <f>SUM(D53+[2]Hoja1!$I$52)</f>
        <v>1409751</v>
      </c>
      <c r="I53" s="42">
        <f>SUM(E53+[2]Hoja1!$J$52)</f>
        <v>4638938.5599999996</v>
      </c>
      <c r="J53" s="56">
        <f t="shared" si="5"/>
        <v>-3229187.5599999996</v>
      </c>
      <c r="K53" s="37"/>
      <c r="L53" s="41">
        <f>+D53+[1]COMPRES!$L$53</f>
        <v>22278257</v>
      </c>
      <c r="M53" s="42">
        <v>21697214.379999999</v>
      </c>
      <c r="N53" s="56">
        <f t="shared" si="7"/>
        <v>581042.62000000104</v>
      </c>
    </row>
    <row r="54" spans="1:15" x14ac:dyDescent="0.2">
      <c r="A54" s="47" t="s">
        <v>55</v>
      </c>
      <c r="C54" s="49"/>
      <c r="D54" s="55">
        <v>2600000</v>
      </c>
      <c r="E54" s="113">
        <f>+[5]IYE!S55</f>
        <v>3985623.9</v>
      </c>
      <c r="F54" s="94">
        <f>SUM(D54-E54)</f>
        <v>-1385623.9</v>
      </c>
      <c r="G54" s="102"/>
      <c r="H54" s="55">
        <f>SUM(D54+[2]Hoja1!$I$53)</f>
        <v>26313675.899999999</v>
      </c>
      <c r="I54" s="42">
        <f>SUM(E54+[2]Hoja1!$J$53)</f>
        <v>-691260.9999999986</v>
      </c>
      <c r="J54" s="56">
        <f t="shared" si="5"/>
        <v>27004936.899999999</v>
      </c>
      <c r="K54" s="37"/>
      <c r="L54" s="41">
        <f>+D54+[1]COMPRES!$L$54</f>
        <v>2600000</v>
      </c>
      <c r="M54" s="42">
        <v>4005711.4299999997</v>
      </c>
      <c r="N54" s="56">
        <f t="shared" si="7"/>
        <v>-1405711.4299999997</v>
      </c>
      <c r="O54" s="66"/>
    </row>
    <row r="55" spans="1:15" x14ac:dyDescent="0.2">
      <c r="A55" s="47" t="s">
        <v>56</v>
      </c>
      <c r="C55" s="49"/>
      <c r="D55" s="55">
        <v>750000</v>
      </c>
      <c r="E55" s="113">
        <f>+[5]IYE!S56</f>
        <v>902621.63</v>
      </c>
      <c r="F55" s="94">
        <f t="shared" si="4"/>
        <v>-152621.63</v>
      </c>
      <c r="G55" s="102"/>
      <c r="H55" s="55">
        <f>SUM(D55+[2]Hoja1!$I$54)</f>
        <v>766195</v>
      </c>
      <c r="I55" s="42">
        <f>SUM(E55+[2]Hoja1!$J$54)</f>
        <v>1237758.6299999999</v>
      </c>
      <c r="J55" s="56">
        <f t="shared" si="5"/>
        <v>-471563.62999999989</v>
      </c>
      <c r="K55" s="37"/>
      <c r="L55" s="41">
        <f>+D55+[1]COMPRES!$L$55</f>
        <v>9050000</v>
      </c>
      <c r="M55" s="42">
        <v>8375426.0300000003</v>
      </c>
      <c r="N55" s="56">
        <f t="shared" si="7"/>
        <v>674573.96999999974</v>
      </c>
    </row>
    <row r="56" spans="1:15" x14ac:dyDescent="0.2">
      <c r="A56" s="47" t="s">
        <v>57</v>
      </c>
      <c r="C56" s="49"/>
      <c r="D56" s="55">
        <v>400000</v>
      </c>
      <c r="E56" s="113">
        <f>+[5]IYE!S57</f>
        <v>697754.94</v>
      </c>
      <c r="F56" s="94">
        <f t="shared" si="4"/>
        <v>-297754.93999999994</v>
      </c>
      <c r="G56" s="102"/>
      <c r="H56" s="55">
        <f>SUM(D56+[2]Hoja1!$I$55)</f>
        <v>2146494.88</v>
      </c>
      <c r="I56" s="42">
        <f>SUM(E56+[2]Hoja1!$J$55)</f>
        <v>1847366.5100000002</v>
      </c>
      <c r="J56" s="56">
        <f t="shared" si="5"/>
        <v>299128.36999999965</v>
      </c>
      <c r="K56" s="37"/>
      <c r="L56" s="41">
        <f>+D56+[1]COMPRES!$L$56</f>
        <v>3439751</v>
      </c>
      <c r="M56" s="42">
        <v>3146271.6099999994</v>
      </c>
      <c r="N56" s="56">
        <f t="shared" si="7"/>
        <v>293479.3900000006</v>
      </c>
    </row>
    <row r="57" spans="1:15" x14ac:dyDescent="0.2">
      <c r="A57" s="47" t="s">
        <v>58</v>
      </c>
      <c r="C57" s="49"/>
      <c r="D57" s="55">
        <v>100000</v>
      </c>
      <c r="E57" s="113">
        <f>+[5]IYE!S58</f>
        <v>300000</v>
      </c>
      <c r="F57" s="94">
        <f t="shared" si="4"/>
        <v>-200000</v>
      </c>
      <c r="G57" s="102"/>
      <c r="H57" s="55">
        <f>SUM(D57+[2]Hoja1!$I$56)</f>
        <v>4312298.28</v>
      </c>
      <c r="I57" s="42">
        <f>SUM(E57+[2]Hoja1!$J$56)</f>
        <v>282089.26999999955</v>
      </c>
      <c r="J57" s="56">
        <f t="shared" si="5"/>
        <v>4030209.0100000007</v>
      </c>
      <c r="K57" s="37"/>
      <c r="L57" s="41">
        <f>+D57+[1]COMPRES!$L$57</f>
        <v>3400000</v>
      </c>
      <c r="M57" s="42">
        <v>2351702.5499999998</v>
      </c>
      <c r="N57" s="56">
        <f t="shared" si="7"/>
        <v>1048297.4500000002</v>
      </c>
    </row>
    <row r="58" spans="1:15" x14ac:dyDescent="0.2">
      <c r="A58" s="47" t="s">
        <v>59</v>
      </c>
      <c r="C58" s="49"/>
      <c r="D58" s="55">
        <v>310000</v>
      </c>
      <c r="E58" s="113">
        <f>+[5]IYE!S59</f>
        <v>2512539</v>
      </c>
      <c r="F58" s="94">
        <f t="shared" si="4"/>
        <v>-2202539</v>
      </c>
      <c r="G58" s="102"/>
      <c r="H58" s="55">
        <f>SUM(D58+[2]Hoja1!$I$57)</f>
        <v>1518098</v>
      </c>
      <c r="I58" s="42">
        <f>SUM(E58+[2]Hoja1!$J$57)</f>
        <v>5463132.1899999995</v>
      </c>
      <c r="J58" s="56">
        <f t="shared" si="5"/>
        <v>-3945034.1899999995</v>
      </c>
      <c r="K58" s="37"/>
      <c r="L58" s="41">
        <f>+D58+[1]COMPRES!$L$58</f>
        <v>4360000</v>
      </c>
      <c r="M58" s="42">
        <v>5732801.0199999996</v>
      </c>
      <c r="N58" s="56">
        <f t="shared" si="7"/>
        <v>-1372801.0199999996</v>
      </c>
    </row>
    <row r="59" spans="1:15" x14ac:dyDescent="0.2">
      <c r="A59" s="47" t="s">
        <v>60</v>
      </c>
      <c r="C59" s="49"/>
      <c r="D59" s="55">
        <v>85000</v>
      </c>
      <c r="E59" s="113">
        <f>+[5]IYE!S60</f>
        <v>90000</v>
      </c>
      <c r="F59" s="94">
        <f t="shared" si="4"/>
        <v>-5000</v>
      </c>
      <c r="G59" s="102"/>
      <c r="H59" s="55">
        <f>SUM(D59+[2]Hoja1!$I$58)</f>
        <v>-463545.14000000013</v>
      </c>
      <c r="I59" s="64">
        <f>SUM(E59+[2]Hoja1!$J$58)</f>
        <v>2971176.21</v>
      </c>
      <c r="J59" s="56">
        <f t="shared" si="5"/>
        <v>-3434721.35</v>
      </c>
      <c r="K59" s="37"/>
      <c r="L59" s="41">
        <f>+D59+[1]COMPRES!$L$59</f>
        <v>350000</v>
      </c>
      <c r="M59" s="42">
        <v>212894</v>
      </c>
      <c r="N59" s="56">
        <f t="shared" si="7"/>
        <v>137106</v>
      </c>
    </row>
    <row r="60" spans="1:15" x14ac:dyDescent="0.2">
      <c r="A60" s="47" t="s">
        <v>61</v>
      </c>
      <c r="C60" s="49"/>
      <c r="D60" s="55">
        <v>0</v>
      </c>
      <c r="E60" s="113">
        <f>+[5]IYE!S61</f>
        <v>0</v>
      </c>
      <c r="F60" s="94">
        <f t="shared" si="4"/>
        <v>0</v>
      </c>
      <c r="G60" s="102"/>
      <c r="H60" s="55"/>
      <c r="I60" s="64"/>
      <c r="J60" s="56"/>
      <c r="K60" s="37"/>
      <c r="L60" s="41">
        <f>+D60+[1]COMPRES!$L$60</f>
        <v>0</v>
      </c>
      <c r="M60" s="42">
        <v>0</v>
      </c>
      <c r="N60" s="56"/>
    </row>
    <row r="61" spans="1:15" x14ac:dyDescent="0.2">
      <c r="B61" s="29" t="s">
        <v>62</v>
      </c>
      <c r="C61" s="49"/>
      <c r="D61" s="114">
        <f>SUM(D50:D60)</f>
        <v>5739751</v>
      </c>
      <c r="E61" s="115">
        <f>SUM(E50:E60)</f>
        <v>13141460.07</v>
      </c>
      <c r="F61" s="59">
        <f t="shared" si="4"/>
        <v>-7401709.0700000003</v>
      </c>
      <c r="G61" s="60"/>
      <c r="H61" s="116">
        <f>SUM(H50:H59)</f>
        <v>692176240.20999992</v>
      </c>
      <c r="I61" s="115">
        <f>SUM(I50:I59)</f>
        <v>-15760989.791584149</v>
      </c>
      <c r="J61" s="62">
        <f>SUM(J50:J59)</f>
        <v>707937230.00158405</v>
      </c>
      <c r="K61" s="37"/>
      <c r="L61" s="114">
        <f>SUM(L50:L60)</f>
        <v>45918008</v>
      </c>
      <c r="M61" s="115">
        <v>45702543.339999989</v>
      </c>
      <c r="N61" s="62">
        <f t="shared" si="7"/>
        <v>215464.66000001132</v>
      </c>
    </row>
    <row r="62" spans="1:15" x14ac:dyDescent="0.2">
      <c r="C62" s="30" t="s">
        <v>63</v>
      </c>
      <c r="D62" s="117">
        <f>SUM(D49+D61)</f>
        <v>110514571.00031358</v>
      </c>
      <c r="E62" s="118">
        <f>SUM(E49+E61)</f>
        <v>120026728.76999998</v>
      </c>
      <c r="F62" s="71">
        <f t="shared" si="4"/>
        <v>-9512157.7696864009</v>
      </c>
      <c r="G62" s="72"/>
      <c r="H62" s="119">
        <f>SUM(H49+H61)</f>
        <v>2105119567.4303136</v>
      </c>
      <c r="I62" s="118">
        <f>SUM(I49+I61)</f>
        <v>26066405.56797573</v>
      </c>
      <c r="J62" s="120">
        <f>SUM(J49+J61)</f>
        <v>2079053161.8623378</v>
      </c>
      <c r="K62" s="37"/>
      <c r="L62" s="117">
        <f>SUM(L49+L61)</f>
        <v>853027085.27003312</v>
      </c>
      <c r="M62" s="118">
        <v>880684053.86000001</v>
      </c>
      <c r="N62" s="121">
        <f t="shared" si="7"/>
        <v>-27656968.589966893</v>
      </c>
    </row>
    <row r="63" spans="1:15" x14ac:dyDescent="0.2">
      <c r="A63" s="84" t="s">
        <v>64</v>
      </c>
      <c r="C63" s="30"/>
      <c r="D63" s="41"/>
      <c r="E63" s="85"/>
      <c r="F63" s="43"/>
      <c r="G63" s="44"/>
      <c r="H63" s="41"/>
      <c r="I63" s="85"/>
      <c r="J63" s="43"/>
      <c r="K63" s="37"/>
      <c r="L63" s="41"/>
      <c r="M63" s="85"/>
      <c r="N63" s="43"/>
    </row>
    <row r="64" spans="1:15" x14ac:dyDescent="0.2">
      <c r="A64" s="47" t="s">
        <v>34</v>
      </c>
      <c r="C64" s="30"/>
      <c r="D64" s="50">
        <f t="shared" ref="D64:D69" si="8">+E64</f>
        <v>150150</v>
      </c>
      <c r="E64" s="51">
        <f>SUM([5]rdo!E52)</f>
        <v>150150</v>
      </c>
      <c r="F64" s="52">
        <f t="shared" si="4"/>
        <v>0</v>
      </c>
      <c r="G64" s="44"/>
      <c r="H64" s="50">
        <f>SUM(D64+[2]Hoja1!$I$61)</f>
        <v>30715696.969999999</v>
      </c>
      <c r="I64" s="51">
        <f>SUM(E64+[2]Hoja1!$J$61)</f>
        <v>3416362.2900000014</v>
      </c>
      <c r="J64" s="52">
        <f t="shared" si="5"/>
        <v>27299334.679999996</v>
      </c>
      <c r="K64" s="37"/>
      <c r="L64" s="50">
        <f t="shared" ref="L64:L69" si="9">+M64</f>
        <v>794260</v>
      </c>
      <c r="M64" s="51">
        <v>794260</v>
      </c>
      <c r="N64" s="52">
        <f t="shared" ref="N64:N73" si="10">SUM(L64-M64)</f>
        <v>0</v>
      </c>
    </row>
    <row r="65" spans="1:14" x14ac:dyDescent="0.2">
      <c r="A65" s="47" t="s">
        <v>35</v>
      </c>
      <c r="C65" s="30"/>
      <c r="D65" s="63">
        <f t="shared" si="8"/>
        <v>721733.25</v>
      </c>
      <c r="E65" s="64">
        <f>SUM([5]rdo!E53)</f>
        <v>721733.25</v>
      </c>
      <c r="F65" s="94">
        <f t="shared" si="4"/>
        <v>0</v>
      </c>
      <c r="G65" s="44"/>
      <c r="H65" s="63">
        <f>SUM(D65+[2]Hoja1!$I$63)</f>
        <v>9246113.25</v>
      </c>
      <c r="I65" s="42">
        <f>SUM(E65+[2]Hoja1!$J$63)</f>
        <v>9243594.25</v>
      </c>
      <c r="J65" s="94">
        <f t="shared" si="5"/>
        <v>2519</v>
      </c>
      <c r="K65" s="37"/>
      <c r="L65" s="122">
        <f t="shared" si="9"/>
        <v>9475085.3399999999</v>
      </c>
      <c r="M65" s="42">
        <v>9475085.3399999999</v>
      </c>
      <c r="N65" s="94">
        <f t="shared" si="10"/>
        <v>0</v>
      </c>
    </row>
    <row r="66" spans="1:14" x14ac:dyDescent="0.2">
      <c r="A66" s="47" t="s">
        <v>65</v>
      </c>
      <c r="C66" s="30"/>
      <c r="D66" s="63">
        <f t="shared" si="8"/>
        <v>567158.63</v>
      </c>
      <c r="E66" s="64">
        <f>SUM([5]rdo!E54)</f>
        <v>567158.63</v>
      </c>
      <c r="F66" s="94">
        <f t="shared" si="4"/>
        <v>0</v>
      </c>
      <c r="G66" s="44"/>
      <c r="H66" s="63" t="e">
        <f>SUM(D66+[2]Hoja1!$I$64)</f>
        <v>#REF!</v>
      </c>
      <c r="I66" s="42" t="e">
        <f>SUM(E66+[2]Hoja1!$J$64)</f>
        <v>#REF!</v>
      </c>
      <c r="J66" s="94" t="e">
        <f t="shared" si="5"/>
        <v>#REF!</v>
      </c>
      <c r="K66" s="37"/>
      <c r="L66" s="122">
        <f t="shared" si="9"/>
        <v>6761339.9699999997</v>
      </c>
      <c r="M66" s="42">
        <v>6761339.9699999997</v>
      </c>
      <c r="N66" s="94">
        <f t="shared" si="10"/>
        <v>0</v>
      </c>
    </row>
    <row r="67" spans="1:14" x14ac:dyDescent="0.2">
      <c r="A67" s="47" t="s">
        <v>37</v>
      </c>
      <c r="C67" s="30"/>
      <c r="D67" s="63">
        <f t="shared" si="8"/>
        <v>297547.83</v>
      </c>
      <c r="E67" s="64">
        <f>SUM([5]rdo!E55)</f>
        <v>297547.83</v>
      </c>
      <c r="F67" s="94">
        <f t="shared" si="4"/>
        <v>0</v>
      </c>
      <c r="G67" s="44"/>
      <c r="H67" s="63">
        <f>SUM(D67+[2]Hoja1!$I$65)</f>
        <v>10804273.4</v>
      </c>
      <c r="I67" s="42">
        <f>SUM(E67+[2]Hoja1!$J$65)</f>
        <v>300066.83</v>
      </c>
      <c r="J67" s="94">
        <f t="shared" si="5"/>
        <v>10504206.57</v>
      </c>
      <c r="K67" s="37"/>
      <c r="L67" s="122">
        <f t="shared" si="9"/>
        <v>3260257.9</v>
      </c>
      <c r="M67" s="42">
        <v>3260257.9</v>
      </c>
      <c r="N67" s="94">
        <f t="shared" si="10"/>
        <v>0</v>
      </c>
    </row>
    <row r="68" spans="1:14" x14ac:dyDescent="0.2">
      <c r="A68" s="47" t="s">
        <v>66</v>
      </c>
      <c r="C68" s="30"/>
      <c r="D68" s="63">
        <f t="shared" si="8"/>
        <v>0</v>
      </c>
      <c r="E68" s="64">
        <f>SUM([5]rdo!E56)</f>
        <v>0</v>
      </c>
      <c r="F68" s="94">
        <f t="shared" si="4"/>
        <v>0</v>
      </c>
      <c r="G68" s="44"/>
      <c r="H68" s="63">
        <f>SUM(D68+[2]Hoja1!$I$66)</f>
        <v>10183033.52</v>
      </c>
      <c r="I68" s="42">
        <f>SUM(E68+[2]Hoja1!$J$66)</f>
        <v>59</v>
      </c>
      <c r="J68" s="94">
        <f t="shared" si="5"/>
        <v>10182974.52</v>
      </c>
      <c r="K68" s="37"/>
      <c r="L68" s="122">
        <f t="shared" si="9"/>
        <v>0</v>
      </c>
      <c r="M68" s="42">
        <v>0</v>
      </c>
      <c r="N68" s="94">
        <f t="shared" si="10"/>
        <v>0</v>
      </c>
    </row>
    <row r="69" spans="1:14" x14ac:dyDescent="0.2">
      <c r="A69" s="47" t="s">
        <v>38</v>
      </c>
      <c r="C69" s="30"/>
      <c r="D69" s="63">
        <f t="shared" si="8"/>
        <v>359104.22</v>
      </c>
      <c r="E69" s="64">
        <f>SUM([5]rdo!E57)</f>
        <v>359104.22</v>
      </c>
      <c r="F69" s="94">
        <f t="shared" si="4"/>
        <v>0</v>
      </c>
      <c r="G69" s="44"/>
      <c r="H69" s="63">
        <f>SUM(D69+[2]Hoja1!$I$67)</f>
        <v>1362422.43</v>
      </c>
      <c r="I69" s="42">
        <f>SUM(E69+[2]Hoja1!$J$67)</f>
        <v>359266.22</v>
      </c>
      <c r="J69" s="94">
        <f t="shared" si="5"/>
        <v>1003156.21</v>
      </c>
      <c r="K69" s="37"/>
      <c r="L69" s="122">
        <f t="shared" si="9"/>
        <v>5074852.9899999993</v>
      </c>
      <c r="M69" s="42">
        <v>5074852.9899999993</v>
      </c>
      <c r="N69" s="94">
        <f t="shared" si="10"/>
        <v>0</v>
      </c>
    </row>
    <row r="70" spans="1:14" x14ac:dyDescent="0.2">
      <c r="B70" s="29" t="s">
        <v>67</v>
      </c>
      <c r="C70" s="30"/>
      <c r="D70" s="123">
        <f>SUM(D64:D69)</f>
        <v>2095693.93</v>
      </c>
      <c r="E70" s="124">
        <f>SUM(E64:E69)</f>
        <v>2095693.93</v>
      </c>
      <c r="F70" s="125">
        <f t="shared" si="4"/>
        <v>0</v>
      </c>
      <c r="G70" s="60"/>
      <c r="H70" s="126" t="e">
        <f>SUM(H64:H69)</f>
        <v>#REF!</v>
      </c>
      <c r="I70" s="124" t="e">
        <f>SUM(I64:I69)</f>
        <v>#REF!</v>
      </c>
      <c r="J70" s="127" t="e">
        <f t="shared" si="5"/>
        <v>#REF!</v>
      </c>
      <c r="K70" s="37"/>
      <c r="L70" s="123">
        <f>SUM(L64:L69)</f>
        <v>25365796.199999996</v>
      </c>
      <c r="M70" s="124">
        <v>25365796.199999996</v>
      </c>
      <c r="N70" s="127">
        <f t="shared" si="10"/>
        <v>0</v>
      </c>
    </row>
    <row r="71" spans="1:14" x14ac:dyDescent="0.2">
      <c r="A71" s="47" t="s">
        <v>54</v>
      </c>
      <c r="B71" s="29"/>
      <c r="C71" s="30"/>
      <c r="D71" s="50">
        <f>+E71</f>
        <v>0</v>
      </c>
      <c r="E71" s="51">
        <f>+[5]IYE!S73</f>
        <v>0</v>
      </c>
      <c r="F71" s="52">
        <f t="shared" si="4"/>
        <v>0</v>
      </c>
      <c r="G71" s="44"/>
      <c r="H71" s="50">
        <f>SUM(D71+[2]Hoja1!$I$69)</f>
        <v>6363922.6299999999</v>
      </c>
      <c r="I71" s="51">
        <f>SUM(E71+[2]Hoja1!$J$69)</f>
        <v>118</v>
      </c>
      <c r="J71" s="52">
        <f>SUM(H71-I71)</f>
        <v>6363804.6299999999</v>
      </c>
      <c r="K71" s="37"/>
      <c r="L71" s="50">
        <f>+M71</f>
        <v>5370168.3600000003</v>
      </c>
      <c r="M71" s="51">
        <v>5370168.3600000003</v>
      </c>
      <c r="N71" s="52">
        <f t="shared" si="10"/>
        <v>0</v>
      </c>
    </row>
    <row r="72" spans="1:14" x14ac:dyDescent="0.2">
      <c r="A72" s="47" t="s">
        <v>68</v>
      </c>
      <c r="C72" s="30"/>
      <c r="D72" s="63">
        <f>+E72</f>
        <v>2070349.03</v>
      </c>
      <c r="E72" s="64">
        <f>+[5]IYE!S74</f>
        <v>2070349.03</v>
      </c>
      <c r="F72" s="94">
        <f t="shared" si="4"/>
        <v>0</v>
      </c>
      <c r="G72" s="44"/>
      <c r="H72" s="55" t="e">
        <f>SUM(D72+[2]Hoja1!$I$70)</f>
        <v>#REF!</v>
      </c>
      <c r="I72" s="42" t="e">
        <f>SUM(E72+[2]Hoja1!$J$70)</f>
        <v>#REF!</v>
      </c>
      <c r="J72" s="56" t="e">
        <f t="shared" si="5"/>
        <v>#REF!</v>
      </c>
      <c r="K72" s="37"/>
      <c r="L72" s="122">
        <f>+M72</f>
        <v>15798402.269999998</v>
      </c>
      <c r="M72" s="42">
        <v>15798402.269999998</v>
      </c>
      <c r="N72" s="56">
        <f t="shared" si="10"/>
        <v>0</v>
      </c>
    </row>
    <row r="73" spans="1:14" x14ac:dyDescent="0.2">
      <c r="A73" s="47" t="s">
        <v>69</v>
      </c>
      <c r="C73" s="30"/>
      <c r="D73" s="63">
        <f>+E73</f>
        <v>0</v>
      </c>
      <c r="E73" s="64">
        <f>+[5]IYE!S75</f>
        <v>0</v>
      </c>
      <c r="F73" s="94">
        <f t="shared" si="4"/>
        <v>0</v>
      </c>
      <c r="G73" s="44"/>
      <c r="H73" s="55">
        <f>SUM(D73+[2]Hoja1!$I$71)</f>
        <v>58016772.629999995</v>
      </c>
      <c r="I73" s="104">
        <f>SUM(E73+[2]Hoja1!$J$71)</f>
        <v>70</v>
      </c>
      <c r="J73" s="56">
        <f t="shared" si="5"/>
        <v>58016702.629999995</v>
      </c>
      <c r="K73" s="37"/>
      <c r="L73" s="122">
        <f>+M73</f>
        <v>0</v>
      </c>
      <c r="M73" s="42">
        <v>0</v>
      </c>
      <c r="N73" s="56">
        <f t="shared" si="10"/>
        <v>0</v>
      </c>
    </row>
    <row r="74" spans="1:14" x14ac:dyDescent="0.2">
      <c r="B74" s="29" t="s">
        <v>70</v>
      </c>
      <c r="C74" s="49"/>
      <c r="D74" s="123">
        <f>SUM(D71:D73)</f>
        <v>2070349.03</v>
      </c>
      <c r="E74" s="124">
        <f>SUM(E71:E73)</f>
        <v>2070349.03</v>
      </c>
      <c r="F74" s="125">
        <f>SUM(F71:F73)</f>
        <v>0</v>
      </c>
      <c r="G74" s="60"/>
      <c r="H74" s="126" t="e">
        <f>SUM(H71:H73)</f>
        <v>#REF!</v>
      </c>
      <c r="I74" s="124" t="e">
        <f>SUM(I71:I73)</f>
        <v>#REF!</v>
      </c>
      <c r="J74" s="127" t="e">
        <f t="shared" si="5"/>
        <v>#REF!</v>
      </c>
      <c r="K74" s="37"/>
      <c r="L74" s="123">
        <f>SUM(L71:L73)-1</f>
        <v>21168569.629999999</v>
      </c>
      <c r="M74" s="124">
        <v>21168569.629999999</v>
      </c>
      <c r="N74" s="127">
        <f>SUM(N71:N73)</f>
        <v>0</v>
      </c>
    </row>
    <row r="75" spans="1:14" x14ac:dyDescent="0.2">
      <c r="B75" s="29"/>
      <c r="C75" s="30" t="s">
        <v>71</v>
      </c>
      <c r="D75" s="69">
        <f>SUM(D74,D70)</f>
        <v>4166042.96</v>
      </c>
      <c r="E75" s="73">
        <f>SUM(E74,E70)</f>
        <v>4166042.96</v>
      </c>
      <c r="F75" s="71">
        <f t="shared" si="4"/>
        <v>0</v>
      </c>
      <c r="G75" s="72"/>
      <c r="H75" s="73" t="e">
        <f>SUM(H74,H70)</f>
        <v>#REF!</v>
      </c>
      <c r="I75" s="73" t="e">
        <f>SUM(I74,I70)</f>
        <v>#REF!</v>
      </c>
      <c r="J75" s="74" t="e">
        <f t="shared" si="5"/>
        <v>#REF!</v>
      </c>
      <c r="K75" s="37"/>
      <c r="L75" s="69">
        <f>SUM(L74,L70)</f>
        <v>46534365.829999998</v>
      </c>
      <c r="M75" s="73">
        <v>46534365.829999998</v>
      </c>
      <c r="N75" s="74">
        <f>SUM(L75-M75)</f>
        <v>0</v>
      </c>
    </row>
    <row r="76" spans="1:14" x14ac:dyDescent="0.2">
      <c r="C76" s="49"/>
      <c r="D76" s="41"/>
      <c r="E76" s="42"/>
      <c r="F76" s="43"/>
      <c r="G76" s="44"/>
      <c r="H76" s="45"/>
      <c r="I76" s="42"/>
      <c r="J76" s="46"/>
      <c r="K76" s="37"/>
      <c r="L76" s="41"/>
      <c r="M76" s="42"/>
      <c r="N76" s="46"/>
    </row>
    <row r="77" spans="1:14" x14ac:dyDescent="0.2">
      <c r="C77" s="30" t="s">
        <v>72</v>
      </c>
      <c r="D77" s="69">
        <f>SUM(D62+D75)</f>
        <v>114680613.96031357</v>
      </c>
      <c r="E77" s="70">
        <f>SUM(E62+E75)</f>
        <v>124192771.72999997</v>
      </c>
      <c r="F77" s="71">
        <f>SUM(F62+F75)</f>
        <v>-9512157.7696864009</v>
      </c>
      <c r="G77" s="44"/>
      <c r="H77" s="73" t="e">
        <f>SUM(H62+H75)</f>
        <v>#REF!</v>
      </c>
      <c r="I77" s="70" t="e">
        <f>SUM(I62+I75)</f>
        <v>#REF!</v>
      </c>
      <c r="J77" s="121" t="e">
        <f>SUM(J62+J75)</f>
        <v>#REF!</v>
      </c>
      <c r="K77" s="37"/>
      <c r="L77" s="69">
        <f>SUM(L62+L75)</f>
        <v>899561451.10003316</v>
      </c>
      <c r="M77" s="70">
        <v>927218419.69000006</v>
      </c>
      <c r="N77" s="121">
        <f>SUM(N62+N75)</f>
        <v>-27656968.589966893</v>
      </c>
    </row>
    <row r="78" spans="1:14" ht="13.5" thickBot="1" x14ac:dyDescent="0.25">
      <c r="A78" s="128" t="s">
        <v>73</v>
      </c>
      <c r="B78" s="129"/>
      <c r="C78" s="130"/>
      <c r="D78" s="131"/>
      <c r="E78" s="132">
        <f>+E30-E77</f>
        <v>50055571.150000021</v>
      </c>
      <c r="F78" s="133"/>
      <c r="G78" s="134"/>
      <c r="H78" s="135"/>
      <c r="I78" s="136" t="e">
        <f>SUM(I30-I77)</f>
        <v>#REF!</v>
      </c>
      <c r="J78" s="137"/>
      <c r="K78" s="138"/>
      <c r="L78" s="131"/>
      <c r="M78" s="132">
        <v>99015278.209999919</v>
      </c>
      <c r="N78" s="137"/>
    </row>
    <row r="79" spans="1:14" x14ac:dyDescent="0.2">
      <c r="A79" s="139"/>
      <c r="B79" s="4"/>
      <c r="C79" s="4"/>
    </row>
    <row r="80" spans="1:14" x14ac:dyDescent="0.2">
      <c r="A80" s="139"/>
      <c r="B80" s="139"/>
      <c r="C80" s="139"/>
    </row>
    <row r="81" spans="1:12" x14ac:dyDescent="0.2">
      <c r="A81" s="4"/>
      <c r="B81" s="139"/>
      <c r="C81" s="139"/>
    </row>
    <row r="82" spans="1:12" ht="15" x14ac:dyDescent="0.25">
      <c r="L82" s="140"/>
    </row>
    <row r="83" spans="1:12" ht="15" x14ac:dyDescent="0.25">
      <c r="L83" s="140"/>
    </row>
  </sheetData>
  <mergeCells count="5">
    <mergeCell ref="A1:N1"/>
    <mergeCell ref="A2:N2"/>
    <mergeCell ref="A3:N3"/>
    <mergeCell ref="D5:F5"/>
    <mergeCell ref="L5:N5"/>
  </mergeCells>
  <pageMargins left="0.75" right="0.75" top="0.71" bottom="0.75" header="0" footer="0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zoomScale="130" workbookViewId="0">
      <selection activeCell="C17" sqref="C17"/>
    </sheetView>
  </sheetViews>
  <sheetFormatPr baseColWidth="10" defaultRowHeight="12.75" x14ac:dyDescent="0.2"/>
  <cols>
    <col min="1" max="1" width="1.7109375" style="47" customWidth="1"/>
    <col min="2" max="2" width="2" style="48" customWidth="1"/>
    <col min="3" max="3" width="29.28515625" style="48" customWidth="1"/>
    <col min="4" max="4" width="14.5703125" style="48" hidden="1" customWidth="1"/>
    <col min="5" max="5" width="16" style="48" hidden="1" customWidth="1"/>
    <col min="6" max="6" width="14.42578125" style="48" hidden="1" customWidth="1"/>
    <col min="7" max="7" width="0.42578125" style="48" hidden="1" customWidth="1"/>
    <col min="8" max="9" width="14.5703125" style="48" hidden="1" customWidth="1"/>
    <col min="10" max="10" width="14.5703125" style="49" hidden="1" customWidth="1"/>
    <col min="11" max="11" width="0.5703125" style="4" hidden="1" customWidth="1"/>
    <col min="12" max="12" width="15.28515625" style="4" customWidth="1"/>
    <col min="13" max="13" width="15.140625" style="4" bestFit="1" customWidth="1"/>
    <col min="14" max="14" width="14.7109375" style="4" customWidth="1"/>
    <col min="15" max="15" width="11.42578125" style="4"/>
    <col min="16" max="16" width="12.28515625" style="4" bestFit="1" customWidth="1"/>
    <col min="17" max="17" width="14.85546875" style="4" bestFit="1" customWidth="1"/>
    <col min="18" max="18" width="12.85546875" style="4" bestFit="1" customWidth="1"/>
    <col min="19" max="16384" width="11.42578125" style="4"/>
  </cols>
  <sheetData>
    <row r="1" spans="1:17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7" ht="16.5" thickBo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7" ht="13.5" thickBot="1" x14ac:dyDescent="0.25">
      <c r="A4" s="8"/>
      <c r="B4" s="9"/>
      <c r="C4" s="9"/>
      <c r="D4" s="10"/>
      <c r="E4" s="10"/>
      <c r="F4" s="11"/>
      <c r="G4" s="12"/>
      <c r="H4" s="13"/>
      <c r="I4" s="14"/>
      <c r="J4" s="15"/>
      <c r="K4" s="16"/>
      <c r="L4" s="10"/>
      <c r="M4" s="10"/>
      <c r="N4" s="11"/>
    </row>
    <row r="5" spans="1:17" ht="16.5" thickBot="1" x14ac:dyDescent="0.3">
      <c r="A5" s="17"/>
      <c r="B5" s="18"/>
      <c r="C5" s="19"/>
      <c r="D5" s="20" t="s">
        <v>76</v>
      </c>
      <c r="E5" s="21"/>
      <c r="F5" s="22"/>
      <c r="G5" s="23">
        <v>0</v>
      </c>
      <c r="H5" s="24" t="s">
        <v>4</v>
      </c>
      <c r="I5" s="25"/>
      <c r="J5" s="26"/>
      <c r="K5" s="27"/>
      <c r="L5" s="20" t="s">
        <v>77</v>
      </c>
      <c r="M5" s="21"/>
      <c r="N5" s="22"/>
    </row>
    <row r="6" spans="1:17" x14ac:dyDescent="0.2">
      <c r="A6" s="28"/>
      <c r="B6" s="29"/>
      <c r="C6" s="30"/>
      <c r="D6" s="31" t="s">
        <v>6</v>
      </c>
      <c r="E6" s="32" t="s">
        <v>7</v>
      </c>
      <c r="F6" s="33" t="s">
        <v>8</v>
      </c>
      <c r="G6" s="34"/>
      <c r="H6" s="35" t="s">
        <v>6</v>
      </c>
      <c r="I6" s="32" t="s">
        <v>7</v>
      </c>
      <c r="J6" s="36" t="s">
        <v>8</v>
      </c>
      <c r="K6" s="37"/>
      <c r="L6" s="31" t="s">
        <v>6</v>
      </c>
      <c r="M6" s="32" t="s">
        <v>7</v>
      </c>
      <c r="N6" s="36" t="s">
        <v>8</v>
      </c>
    </row>
    <row r="7" spans="1:17" x14ac:dyDescent="0.2">
      <c r="A7" s="38" t="s">
        <v>9</v>
      </c>
      <c r="B7" s="39"/>
      <c r="C7" s="40"/>
      <c r="D7" s="41"/>
      <c r="E7" s="42"/>
      <c r="F7" s="43"/>
      <c r="G7" s="44"/>
      <c r="H7" s="45"/>
      <c r="I7" s="42"/>
      <c r="J7" s="46"/>
      <c r="K7" s="37"/>
      <c r="L7" s="41"/>
      <c r="M7" s="42"/>
      <c r="N7" s="46"/>
    </row>
    <row r="8" spans="1:17" x14ac:dyDescent="0.2">
      <c r="A8" s="47" t="s">
        <v>10</v>
      </c>
      <c r="C8" s="49"/>
      <c r="D8" s="141">
        <f>+E8+2626000</f>
        <v>56554000</v>
      </c>
      <c r="E8" s="51">
        <f>SUM([6]rdo!E6)</f>
        <v>53928000</v>
      </c>
      <c r="F8" s="52">
        <f t="shared" ref="F8:F25" si="0">+D8-E8</f>
        <v>2626000</v>
      </c>
      <c r="G8" s="44"/>
      <c r="H8" s="53">
        <f>SUM(D8+[2]Hoja1!$I$8)</f>
        <v>364114118</v>
      </c>
      <c r="I8" s="51">
        <f>SUM(E8+[2]Hoja1!$J$8)</f>
        <v>53928000</v>
      </c>
      <c r="J8" s="54">
        <f>SUM(H8-I8)</f>
        <v>310186118</v>
      </c>
      <c r="K8" s="37"/>
      <c r="L8" s="141">
        <f>+M8+5620000</f>
        <v>465239791</v>
      </c>
      <c r="M8" s="51">
        <v>459619791</v>
      </c>
      <c r="N8" s="52">
        <f t="shared" ref="N8:N18" si="1">SUM(L8-M8)</f>
        <v>5620000</v>
      </c>
    </row>
    <row r="9" spans="1:17" x14ac:dyDescent="0.2">
      <c r="A9" s="47" t="s">
        <v>11</v>
      </c>
      <c r="C9" s="49"/>
      <c r="D9" s="142">
        <f>14409850+14409849</f>
        <v>28819699</v>
      </c>
      <c r="E9" s="51">
        <f>SUM([6]rdo!E7)</f>
        <v>43229548</v>
      </c>
      <c r="F9" s="94">
        <f t="shared" si="0"/>
        <v>-14409849</v>
      </c>
      <c r="G9" s="44"/>
      <c r="H9" s="55">
        <f>SUM(D9+[2]Hoja1!$I$9)</f>
        <v>238700780</v>
      </c>
      <c r="I9" s="42">
        <f>SUM(E9+[2]Hoja1!$J$9)</f>
        <v>43229548</v>
      </c>
      <c r="J9" s="56">
        <f>SUM(H9-I9)</f>
        <v>195471232</v>
      </c>
      <c r="K9" s="37"/>
      <c r="L9" s="142">
        <f>+M9</f>
        <v>288196991</v>
      </c>
      <c r="M9" s="42">
        <v>288196991</v>
      </c>
      <c r="N9" s="94">
        <f>+L9-M9</f>
        <v>0</v>
      </c>
    </row>
    <row r="10" spans="1:17" ht="15" x14ac:dyDescent="0.25">
      <c r="A10" s="47" t="s">
        <v>12</v>
      </c>
      <c r="C10" s="49"/>
      <c r="D10" s="143">
        <f>+E10</f>
        <v>0</v>
      </c>
      <c r="E10" s="104">
        <f>SUM([6]rdo!E8)</f>
        <v>0</v>
      </c>
      <c r="F10" s="144">
        <f t="shared" si="0"/>
        <v>0</v>
      </c>
      <c r="G10" s="105"/>
      <c r="H10" s="106"/>
      <c r="I10" s="104"/>
      <c r="J10" s="107"/>
      <c r="K10" s="145"/>
      <c r="L10" s="143">
        <f>+M10</f>
        <v>0</v>
      </c>
      <c r="M10" s="104">
        <v>0</v>
      </c>
      <c r="N10" s="94">
        <f t="shared" si="1"/>
        <v>0</v>
      </c>
    </row>
    <row r="11" spans="1:17" x14ac:dyDescent="0.2">
      <c r="B11" s="29" t="s">
        <v>13</v>
      </c>
      <c r="C11" s="49"/>
      <c r="D11" s="57">
        <f>SUM(D8:D10)</f>
        <v>85373699</v>
      </c>
      <c r="E11" s="58">
        <f>SUM(E8:E10)</f>
        <v>97157548</v>
      </c>
      <c r="F11" s="59">
        <f t="shared" si="0"/>
        <v>-11783849</v>
      </c>
      <c r="G11" s="60"/>
      <c r="H11" s="61">
        <f>SUM(H8:H9)</f>
        <v>602814898</v>
      </c>
      <c r="I11" s="58">
        <f>SUM(I8:I9)</f>
        <v>97157548</v>
      </c>
      <c r="J11" s="62">
        <f>SUM(J8:J9)</f>
        <v>505657350</v>
      </c>
      <c r="K11" s="37"/>
      <c r="L11" s="57">
        <f>SUM(L8:L10)</f>
        <v>753436782</v>
      </c>
      <c r="M11" s="57">
        <v>747816782</v>
      </c>
      <c r="N11" s="59">
        <f t="shared" si="1"/>
        <v>5620000</v>
      </c>
    </row>
    <row r="12" spans="1:17" x14ac:dyDescent="0.2">
      <c r="A12" s="47" t="s">
        <v>14</v>
      </c>
      <c r="C12" s="49"/>
      <c r="D12" s="50">
        <f>+E12</f>
        <v>3618660.79</v>
      </c>
      <c r="E12" s="51">
        <f>SUM([6]rdo!E10)</f>
        <v>3618660.79</v>
      </c>
      <c r="F12" s="52">
        <f t="shared" si="0"/>
        <v>0</v>
      </c>
      <c r="G12" s="44"/>
      <c r="H12" s="53">
        <f>SUM(D12+[2]Hoja1!$I$11)</f>
        <v>521059859.79000002</v>
      </c>
      <c r="I12" s="51">
        <f>SUM(E12+[2]Hoja1!$J$11)</f>
        <v>3618660.79</v>
      </c>
      <c r="J12" s="54">
        <f t="shared" ref="J12:J25" si="2">SUM(H12-I12)</f>
        <v>517441199</v>
      </c>
      <c r="K12" s="37"/>
      <c r="L12" s="50">
        <f>+M12</f>
        <v>27979997.730000004</v>
      </c>
      <c r="M12" s="51">
        <v>27979997.730000004</v>
      </c>
      <c r="N12" s="52">
        <f t="shared" si="1"/>
        <v>0</v>
      </c>
    </row>
    <row r="13" spans="1:17" x14ac:dyDescent="0.2">
      <c r="A13" s="47" t="s">
        <v>15</v>
      </c>
      <c r="C13" s="49"/>
      <c r="D13" s="41">
        <f>+E13</f>
        <v>560547.52</v>
      </c>
      <c r="E13" s="42">
        <f>SUM([6]rdo!E11)</f>
        <v>560547.52</v>
      </c>
      <c r="F13" s="144">
        <f t="shared" si="0"/>
        <v>0</v>
      </c>
      <c r="G13" s="44"/>
      <c r="H13" s="55">
        <f>SUM(D13+[2]Hoja1!$I$12)</f>
        <v>33267291.66</v>
      </c>
      <c r="I13" s="42">
        <f>SUM(E13+[2]Hoja1!$J$12)</f>
        <v>560704.52</v>
      </c>
      <c r="J13" s="56">
        <f t="shared" si="2"/>
        <v>32706587.140000001</v>
      </c>
      <c r="K13" s="37"/>
      <c r="L13" s="41">
        <f>+M13</f>
        <v>6972552.0199999996</v>
      </c>
      <c r="M13" s="42">
        <v>6972552.0199999996</v>
      </c>
      <c r="N13" s="144">
        <f t="shared" si="1"/>
        <v>0</v>
      </c>
    </row>
    <row r="14" spans="1:17" x14ac:dyDescent="0.2">
      <c r="A14" s="47" t="s">
        <v>16</v>
      </c>
      <c r="C14" s="49"/>
      <c r="D14" s="63">
        <f>+E14</f>
        <v>0</v>
      </c>
      <c r="E14" s="64">
        <f>SUM([6]rdo!E12)</f>
        <v>0</v>
      </c>
      <c r="F14" s="144">
        <f t="shared" si="0"/>
        <v>0</v>
      </c>
      <c r="G14" s="44"/>
      <c r="H14" s="55">
        <f>SUM(D14+[2]Hoja1!$I$13)</f>
        <v>10243264.48</v>
      </c>
      <c r="I14" s="42">
        <f>SUM(E14+[2]Hoja1!$J$13)</f>
        <v>228</v>
      </c>
      <c r="J14" s="56">
        <f t="shared" si="2"/>
        <v>10243036.48</v>
      </c>
      <c r="K14" s="37"/>
      <c r="L14" s="143">
        <f>+M14</f>
        <v>0</v>
      </c>
      <c r="M14" s="104">
        <v>0</v>
      </c>
      <c r="N14" s="144">
        <f t="shared" si="1"/>
        <v>0</v>
      </c>
    </row>
    <row r="15" spans="1:17" x14ac:dyDescent="0.2">
      <c r="A15" s="47" t="s">
        <v>17</v>
      </c>
      <c r="C15" s="49"/>
      <c r="D15" s="41">
        <f>+E15</f>
        <v>818219.11</v>
      </c>
      <c r="E15" s="42">
        <f>SUM([6]rdo!E13)</f>
        <v>818219.11</v>
      </c>
      <c r="F15" s="144">
        <f t="shared" si="0"/>
        <v>0</v>
      </c>
      <c r="G15" s="44"/>
      <c r="H15" s="55">
        <f>SUM(D15+[2]Hoja1!$I$14)</f>
        <v>53327266.739999995</v>
      </c>
      <c r="I15" s="42">
        <f>SUM(E15+[2]Hoja1!$J$14)</f>
        <v>818280.11</v>
      </c>
      <c r="J15" s="56">
        <f t="shared" si="2"/>
        <v>52508986.629999995</v>
      </c>
      <c r="K15" s="37"/>
      <c r="L15" s="41">
        <f>+M15</f>
        <v>15622719.719999999</v>
      </c>
      <c r="M15" s="42">
        <v>15622719.719999999</v>
      </c>
      <c r="N15" s="144">
        <f t="shared" si="1"/>
        <v>0</v>
      </c>
    </row>
    <row r="16" spans="1:17" ht="15" x14ac:dyDescent="0.25">
      <c r="B16" s="29" t="s">
        <v>18</v>
      </c>
      <c r="C16" s="49"/>
      <c r="D16" s="57">
        <f>SUM(D12:D15)</f>
        <v>4997427.42</v>
      </c>
      <c r="E16" s="58">
        <f>SUM(E12:E15)</f>
        <v>4997427.42</v>
      </c>
      <c r="F16" s="59">
        <f t="shared" si="0"/>
        <v>0</v>
      </c>
      <c r="G16" s="60"/>
      <c r="H16" s="61">
        <f>SUM(H12:H15)</f>
        <v>617897682.67000008</v>
      </c>
      <c r="I16" s="58">
        <f>SUM(I12:I15)</f>
        <v>4997873.42</v>
      </c>
      <c r="J16" s="62">
        <f>SUM(J12:J15)</f>
        <v>612899809.25</v>
      </c>
      <c r="K16" s="37"/>
      <c r="L16" s="57">
        <f>SUM(L12:L15)+1</f>
        <v>50575270.469999999</v>
      </c>
      <c r="M16" s="57">
        <v>50575270.469999999</v>
      </c>
      <c r="N16" s="59">
        <f t="shared" si="1"/>
        <v>0</v>
      </c>
      <c r="Q16" s="140"/>
    </row>
    <row r="17" spans="1:18" ht="15" x14ac:dyDescent="0.25">
      <c r="A17" s="47" t="s">
        <v>19</v>
      </c>
      <c r="C17" s="49"/>
      <c r="D17" s="50">
        <f>+[4]Hoja1!$BA$15</f>
        <v>11023460.900330033</v>
      </c>
      <c r="E17" s="51">
        <f>SUM([6]rdo!E15)</f>
        <v>19480320.550000001</v>
      </c>
      <c r="F17" s="52">
        <f t="shared" si="0"/>
        <v>-8456859.6496699676</v>
      </c>
      <c r="G17" s="44"/>
      <c r="H17" s="53">
        <f>SUM(D17+[2]Hoja1!$I$16)</f>
        <v>113983962.57033004</v>
      </c>
      <c r="I17" s="51">
        <f>SUM(E17+[2]Hoja1!$J$16)</f>
        <v>19495281.550000001</v>
      </c>
      <c r="J17" s="54">
        <f t="shared" si="2"/>
        <v>94488681.020330042</v>
      </c>
      <c r="K17" s="37"/>
      <c r="L17" s="50">
        <f>+D17+[5]COMPRES!$L$17</f>
        <v>81114402.842792079</v>
      </c>
      <c r="M17" s="51">
        <v>80962775.819999993</v>
      </c>
      <c r="N17" s="52">
        <f t="shared" si="1"/>
        <v>151627.02279208601</v>
      </c>
      <c r="P17" s="146"/>
      <c r="Q17" s="140"/>
      <c r="R17" s="147"/>
    </row>
    <row r="18" spans="1:18" ht="15" x14ac:dyDescent="0.25">
      <c r="A18" s="47" t="s">
        <v>20</v>
      </c>
      <c r="C18" s="49"/>
      <c r="D18" s="65">
        <f>+[4]Hoja1!$BA$16</f>
        <v>1469431.3330880424</v>
      </c>
      <c r="E18" s="42">
        <f>SUM([6]rdo!E16)</f>
        <v>2139155.4</v>
      </c>
      <c r="F18" s="94">
        <f t="shared" si="0"/>
        <v>-669724.06691195746</v>
      </c>
      <c r="G18" s="44"/>
      <c r="H18" s="45">
        <f>SUM(D18+[2]Hoja1!$I$17)</f>
        <v>46324934.483088039</v>
      </c>
      <c r="I18" s="42">
        <f>SUM(E18+[2]Hoja1!$J$17)</f>
        <v>747412.99839031091</v>
      </c>
      <c r="J18" s="56">
        <f t="shared" si="2"/>
        <v>45577521.484697729</v>
      </c>
      <c r="K18" s="37"/>
      <c r="L18" s="41">
        <f>+D18+[5]COMPRES!$L$18</f>
        <v>194245373.18357006</v>
      </c>
      <c r="M18" s="42">
        <v>192348086.40000001</v>
      </c>
      <c r="N18" s="94">
        <f t="shared" si="1"/>
        <v>1897286.7835700512</v>
      </c>
      <c r="P18" s="66"/>
      <c r="Q18" s="140"/>
      <c r="R18" s="140"/>
    </row>
    <row r="19" spans="1:18" x14ac:dyDescent="0.2">
      <c r="A19" s="47" t="s">
        <v>21</v>
      </c>
      <c r="C19" s="49"/>
      <c r="D19" s="65">
        <f>+[4]Hoja1!$BA$17</f>
        <v>4835297.3303221548</v>
      </c>
      <c r="E19" s="42">
        <f>SUM([6]rdo!E17)+[6]rdo!E18</f>
        <v>6001209.7800000003</v>
      </c>
      <c r="F19" s="94">
        <f t="shared" si="0"/>
        <v>-1165912.4496778455</v>
      </c>
      <c r="G19" s="44"/>
      <c r="H19" s="45">
        <f>SUM(D19+[2]Hoja1!$I$18)</f>
        <v>94597749.080322161</v>
      </c>
      <c r="I19" s="42">
        <f>SUM(E19+[2]Hoja1!$J$18)</f>
        <v>5857698.1212165942</v>
      </c>
      <c r="J19" s="56">
        <f t="shared" si="2"/>
        <v>88740050.959105566</v>
      </c>
      <c r="K19" s="37"/>
      <c r="L19" s="41">
        <f>+D19+[5]COMPRES!$L$19</f>
        <v>64348444.288626276</v>
      </c>
      <c r="M19" s="42">
        <v>70644830.909999996</v>
      </c>
      <c r="N19" s="94">
        <f t="shared" ref="N19:N25" si="3">SUM(L19-M19)</f>
        <v>-6296386.6213737205</v>
      </c>
    </row>
    <row r="20" spans="1:18" x14ac:dyDescent="0.2">
      <c r="A20" s="47" t="s">
        <v>22</v>
      </c>
      <c r="C20" s="49"/>
      <c r="D20" s="65">
        <f>+[4]Hoja1!$BA$18</f>
        <v>2222130.6615989855</v>
      </c>
      <c r="E20" s="42">
        <f>SUM([6]rdo!E19)</f>
        <v>392525</v>
      </c>
      <c r="F20" s="94">
        <f t="shared" si="0"/>
        <v>1829605.6615989855</v>
      </c>
      <c r="G20" s="44"/>
      <c r="H20" s="45">
        <f>SUM(D20+[2]Hoja1!$I$20)</f>
        <v>8678219.661598986</v>
      </c>
      <c r="I20" s="42">
        <f>SUM(E20+[2]Hoja1!$J$20)</f>
        <v>-432347.64402966667</v>
      </c>
      <c r="J20" s="56">
        <f t="shared" si="2"/>
        <v>9110567.3056286536</v>
      </c>
      <c r="K20" s="37"/>
      <c r="L20" s="41">
        <f>+D20+[5]COMPRES!$L$20</f>
        <v>8913588.0673187654</v>
      </c>
      <c r="M20" s="42">
        <v>5305964</v>
      </c>
      <c r="N20" s="94">
        <f t="shared" si="3"/>
        <v>3607624.0673187654</v>
      </c>
      <c r="O20" s="66"/>
    </row>
    <row r="21" spans="1:18" x14ac:dyDescent="0.2">
      <c r="A21" s="47" t="s">
        <v>23</v>
      </c>
      <c r="C21" s="49"/>
      <c r="D21" s="65">
        <f>+[4]Hoja1!$BA$19</f>
        <v>208696.51260712231</v>
      </c>
      <c r="E21" s="42">
        <f>SUM([6]rdo!E20)</f>
        <v>474395.45</v>
      </c>
      <c r="F21" s="94">
        <f t="shared" si="0"/>
        <v>-265698.93739287771</v>
      </c>
      <c r="G21" s="44"/>
      <c r="H21" s="45">
        <f>SUM(D21+[2]Hoja1!$I$21)</f>
        <v>3275187.0126071223</v>
      </c>
      <c r="I21" s="42">
        <f>SUM(E21+[2]Hoja1!$J$21)</f>
        <v>-362769.58425335464</v>
      </c>
      <c r="J21" s="56">
        <f t="shared" si="2"/>
        <v>3637956.5968604768</v>
      </c>
      <c r="K21" s="37"/>
      <c r="L21" s="41">
        <f>+D21+[5]COMPRES!$L$21</f>
        <v>3035016.0390844303</v>
      </c>
      <c r="M21" s="42">
        <v>2063990.4100000001</v>
      </c>
      <c r="N21" s="94">
        <f t="shared" si="3"/>
        <v>971025.62908443017</v>
      </c>
    </row>
    <row r="22" spans="1:18" x14ac:dyDescent="0.2">
      <c r="A22" s="47" t="s">
        <v>24</v>
      </c>
      <c r="C22" s="49"/>
      <c r="D22" s="65">
        <f>+[4]Hoja1!$BA$20</f>
        <v>261989.70314214067</v>
      </c>
      <c r="E22" s="42">
        <f>SUM([6]rdo!E21)</f>
        <v>751057.98</v>
      </c>
      <c r="F22" s="94">
        <f t="shared" si="0"/>
        <v>-489068.27685785934</v>
      </c>
      <c r="G22" s="44"/>
      <c r="H22" s="45">
        <f>SUM(D22+[2]Hoja1!$I$22)</f>
        <v>14225936.683142141</v>
      </c>
      <c r="I22" s="42">
        <f>SUM(E22+[2]Hoja1!$J$22)</f>
        <v>6227648.0817196481</v>
      </c>
      <c r="J22" s="56">
        <f t="shared" si="2"/>
        <v>7998288.6014224924</v>
      </c>
      <c r="K22" s="37"/>
      <c r="L22" s="41">
        <f>+D22+[5]COMPRES!$L$22</f>
        <v>22765276.780012526</v>
      </c>
      <c r="M22" s="42">
        <v>24212658.07</v>
      </c>
      <c r="N22" s="94">
        <f t="shared" si="3"/>
        <v>-1447381.2899874747</v>
      </c>
    </row>
    <row r="23" spans="1:18" x14ac:dyDescent="0.2">
      <c r="A23" s="47" t="s">
        <v>25</v>
      </c>
      <c r="C23" s="49"/>
      <c r="D23" s="65">
        <f>+[4]Hoja1!$BA$21</f>
        <v>292717.68242295278</v>
      </c>
      <c r="E23" s="42">
        <f>SUM([6]rdo!E22)</f>
        <v>329226.14</v>
      </c>
      <c r="F23" s="94">
        <f t="shared" si="0"/>
        <v>-36508.457577047229</v>
      </c>
      <c r="G23" s="44"/>
      <c r="H23" s="45">
        <f>SUM(D23+[2]Hoja1!$I$23)</f>
        <v>1520648.4524229527</v>
      </c>
      <c r="I23" s="42">
        <f>SUM(E23+[2]Hoja1!$J$23)</f>
        <v>1513343.4199068644</v>
      </c>
      <c r="J23" s="56">
        <f t="shared" si="2"/>
        <v>7305.0325160883367</v>
      </c>
      <c r="K23" s="37"/>
      <c r="L23" s="41">
        <f>+D23+[5]COMPRES!$L$23</f>
        <v>3817340.029065263</v>
      </c>
      <c r="M23" s="42">
        <v>2953880.82</v>
      </c>
      <c r="N23" s="94">
        <f t="shared" si="3"/>
        <v>863459.20906526316</v>
      </c>
    </row>
    <row r="24" spans="1:18" x14ac:dyDescent="0.2">
      <c r="A24" s="47" t="s">
        <v>26</v>
      </c>
      <c r="C24" s="49"/>
      <c r="D24" s="65">
        <f>+[4]Hoja1!$BA$22</f>
        <v>967956.50539352919</v>
      </c>
      <c r="E24" s="42">
        <f>SUM([6]rdo!E23)</f>
        <v>708683.49</v>
      </c>
      <c r="F24" s="94">
        <f t="shared" si="0"/>
        <v>259273.0153935292</v>
      </c>
      <c r="G24" s="44"/>
      <c r="H24" s="45">
        <f>SUM(D24+[2]Hoja1!$I$24)</f>
        <v>5560932.2953935293</v>
      </c>
      <c r="I24" s="42">
        <f>SUM(E24+[2]Hoja1!$J$24)</f>
        <v>-517233.67069674679</v>
      </c>
      <c r="J24" s="56">
        <f t="shared" si="2"/>
        <v>6078165.9660902759</v>
      </c>
      <c r="K24" s="37"/>
      <c r="L24" s="41">
        <f>+D24+[5]COMPRES!$L$24</f>
        <v>4858090.2598897014</v>
      </c>
      <c r="M24" s="42">
        <v>4948274.34</v>
      </c>
      <c r="N24" s="94">
        <f t="shared" si="3"/>
        <v>-90184.08011029847</v>
      </c>
    </row>
    <row r="25" spans="1:18" x14ac:dyDescent="0.2">
      <c r="A25" s="47" t="s">
        <v>27</v>
      </c>
      <c r="C25" s="49"/>
      <c r="D25" s="65">
        <f>+[4]Hoja1!$BA$23</f>
        <v>2023003.9645865543</v>
      </c>
      <c r="E25" s="42">
        <f>SUM([6]rdo!E24)</f>
        <v>4516895.33</v>
      </c>
      <c r="F25" s="94">
        <f t="shared" si="0"/>
        <v>-2493891.365413446</v>
      </c>
      <c r="G25" s="44"/>
      <c r="H25" s="67">
        <f>SUM(D25+[2]Hoja1!$I$25)</f>
        <v>22468180.974586558</v>
      </c>
      <c r="I25" s="42">
        <f>SUM(E25+[2]Hoja1!$J$25)</f>
        <v>-8714783.3411730845</v>
      </c>
      <c r="J25" s="56">
        <f t="shared" si="2"/>
        <v>31182964.315759644</v>
      </c>
      <c r="K25" s="37"/>
      <c r="L25" s="41">
        <f>+D25+[5]COMPRES!$L$25</f>
        <v>24965238.547236495</v>
      </c>
      <c r="M25" s="42">
        <v>27671025.399999999</v>
      </c>
      <c r="N25" s="94">
        <f t="shared" si="3"/>
        <v>-2705786.8527635038</v>
      </c>
    </row>
    <row r="26" spans="1:18" x14ac:dyDescent="0.2">
      <c r="B26" s="29" t="s">
        <v>28</v>
      </c>
      <c r="C26" s="49"/>
      <c r="D26" s="57">
        <f>SUM(D17:D25)</f>
        <v>23304684.593491517</v>
      </c>
      <c r="E26" s="58">
        <f>SUM(E17:E25)</f>
        <v>34793469.119999997</v>
      </c>
      <c r="F26" s="59">
        <f>+D26-E26</f>
        <v>-11488784.52650848</v>
      </c>
      <c r="G26" s="60"/>
      <c r="H26" s="61">
        <f>SUM(H17:H25)</f>
        <v>310635751.21349156</v>
      </c>
      <c r="I26" s="58">
        <f>SUM(I17:I25)</f>
        <v>23814249.931080565</v>
      </c>
      <c r="J26" s="62">
        <f>SUM(J17:J25)</f>
        <v>286821501.28241092</v>
      </c>
      <c r="K26" s="37"/>
      <c r="L26" s="57">
        <f>SUM(L17:L25)</f>
        <v>408062770.03759557</v>
      </c>
      <c r="M26" s="58">
        <v>411111484.16999996</v>
      </c>
      <c r="N26" s="68">
        <f>SUM(L26-M26)</f>
        <v>-3048714.132404387</v>
      </c>
    </row>
    <row r="27" spans="1:18" x14ac:dyDescent="0.2">
      <c r="C27" s="30" t="s">
        <v>29</v>
      </c>
      <c r="D27" s="69">
        <f>SUM(D26,D16,D11)</f>
        <v>113675811.01349151</v>
      </c>
      <c r="E27" s="70">
        <f>SUM(E26,E16,E11)</f>
        <v>136948444.53999999</v>
      </c>
      <c r="F27" s="71">
        <f>+D27-E27</f>
        <v>-23272633.52650848</v>
      </c>
      <c r="G27" s="72"/>
      <c r="H27" s="73">
        <f>SUM(H26+H16+H11)</f>
        <v>1531348331.8834915</v>
      </c>
      <c r="I27" s="73">
        <f>SUM(I26,I16,I11)</f>
        <v>125969671.35108057</v>
      </c>
      <c r="J27" s="74">
        <f>SUM(J11+J16+J26)</f>
        <v>1405378660.5324109</v>
      </c>
      <c r="K27" s="37"/>
      <c r="L27" s="69">
        <f>SUM(L26,L16,L11)-1</f>
        <v>1212074821.5075955</v>
      </c>
      <c r="M27" s="70">
        <v>1209503536.6399999</v>
      </c>
      <c r="N27" s="71">
        <f>SUM(L27-M27)</f>
        <v>2571284.8675956726</v>
      </c>
    </row>
    <row r="28" spans="1:18" x14ac:dyDescent="0.2">
      <c r="C28" s="30"/>
      <c r="D28" s="75"/>
      <c r="E28" s="76"/>
      <c r="F28" s="77"/>
      <c r="G28" s="72"/>
      <c r="H28" s="73"/>
      <c r="I28" s="78"/>
      <c r="J28" s="71">
        <v>0</v>
      </c>
      <c r="K28" s="37"/>
      <c r="L28" s="75"/>
      <c r="M28" s="76"/>
      <c r="N28" s="77"/>
    </row>
    <row r="29" spans="1:18" x14ac:dyDescent="0.2">
      <c r="B29" s="48" t="s">
        <v>30</v>
      </c>
      <c r="C29" s="30"/>
      <c r="D29" s="79">
        <f>+[4]Hoja1!$BA$28</f>
        <v>5159398.566091123</v>
      </c>
      <c r="E29" s="80">
        <f>SUM([6]rdo!E29)</f>
        <v>7478359.4500000002</v>
      </c>
      <c r="F29" s="81">
        <f>+D29-E29</f>
        <v>-2318960.8839088771</v>
      </c>
      <c r="G29" s="72"/>
      <c r="H29" s="55">
        <f>SUM(D29+[2]Hoja1!$I$29)</f>
        <v>25773250.696091123</v>
      </c>
      <c r="I29" s="42">
        <f>SUM(E29+[2]Hoja1!$J$29)</f>
        <v>6116159.9179894524</v>
      </c>
      <c r="J29" s="82">
        <f>SUM(H29-I29)</f>
        <v>19657090.778101671</v>
      </c>
      <c r="K29" s="37"/>
      <c r="L29" s="83">
        <f>+D29+[5]COMPRES!$L$29</f>
        <v>54057853.204547785</v>
      </c>
      <c r="M29" s="80">
        <v>53799752.100000009</v>
      </c>
      <c r="N29" s="81">
        <f>SUM(L29-M29)</f>
        <v>258101.10454777628</v>
      </c>
    </row>
    <row r="30" spans="1:18" x14ac:dyDescent="0.2">
      <c r="C30" s="30" t="s">
        <v>31</v>
      </c>
      <c r="D30" s="69">
        <f>SUM(D27-D29)</f>
        <v>108516412.44740039</v>
      </c>
      <c r="E30" s="70">
        <f>SUM(E27-E29)</f>
        <v>129470085.08999999</v>
      </c>
      <c r="F30" s="71">
        <f>SUM(F27-F29)</f>
        <v>-20953672.642599605</v>
      </c>
      <c r="G30" s="72"/>
      <c r="H30" s="73">
        <f>SUM(H27-H29)</f>
        <v>1505575081.1874003</v>
      </c>
      <c r="I30" s="73">
        <f>SUM(I27-I29)</f>
        <v>119853511.43309112</v>
      </c>
      <c r="J30" s="74">
        <f>SUM(J27-J29)</f>
        <v>1385721569.7543092</v>
      </c>
      <c r="K30" s="37"/>
      <c r="L30" s="69">
        <f>SUM(L27-L29)+1</f>
        <v>1158016969.3030477</v>
      </c>
      <c r="M30" s="70">
        <v>1155703784.54</v>
      </c>
      <c r="N30" s="71">
        <f>+L30-M30</f>
        <v>2313184.7630476952</v>
      </c>
    </row>
    <row r="31" spans="1:18" x14ac:dyDescent="0.2">
      <c r="A31" s="84" t="s">
        <v>32</v>
      </c>
      <c r="C31" s="49"/>
      <c r="D31" s="41"/>
      <c r="E31" s="85"/>
      <c r="F31" s="43"/>
      <c r="G31" s="44"/>
      <c r="H31" s="45"/>
      <c r="I31" s="42"/>
      <c r="J31" s="46"/>
      <c r="K31" s="37"/>
      <c r="L31" s="41"/>
      <c r="M31" s="42"/>
      <c r="N31" s="46"/>
    </row>
    <row r="32" spans="1:18" x14ac:dyDescent="0.2">
      <c r="A32" s="38" t="s">
        <v>33</v>
      </c>
      <c r="B32" s="86"/>
      <c r="C32" s="87"/>
      <c r="D32" s="41"/>
      <c r="E32" s="42"/>
      <c r="F32" s="43"/>
      <c r="G32" s="44"/>
      <c r="H32" s="45"/>
      <c r="I32" s="42"/>
      <c r="J32" s="46"/>
      <c r="K32" s="37"/>
      <c r="L32" s="41"/>
      <c r="M32" s="42"/>
      <c r="N32" s="46"/>
    </row>
    <row r="33" spans="1:14" x14ac:dyDescent="0.2">
      <c r="A33" s="47" t="s">
        <v>34</v>
      </c>
      <c r="C33" s="49"/>
      <c r="D33" s="88">
        <f>+[4]Hoja1!$BA$34</f>
        <v>74031679.375382289</v>
      </c>
      <c r="E33" s="89">
        <f>SUM([6]rdo!E34)</f>
        <v>79184070.260000005</v>
      </c>
      <c r="F33" s="90">
        <f t="shared" ref="F33:F75" si="4">SUM(D33-E33)</f>
        <v>-5152390.8846177161</v>
      </c>
      <c r="G33" s="44"/>
      <c r="H33" s="91">
        <f>SUM(D33+[2]Hoja1!$I$33)</f>
        <v>584933818.18538225</v>
      </c>
      <c r="I33" s="89">
        <f>SUM(E33+[2]Hoja1!$J$33)</f>
        <v>66767878.680272594</v>
      </c>
      <c r="J33" s="92">
        <f t="shared" ref="J33:J75" si="5">SUM(H33-I33)</f>
        <v>518165939.50510967</v>
      </c>
      <c r="K33" s="37"/>
      <c r="L33" s="50">
        <f>+D33+[5]COMPRES!$L$33</f>
        <v>678019387.35778618</v>
      </c>
      <c r="M33" s="51">
        <v>708807411.69999993</v>
      </c>
      <c r="N33" s="92">
        <f t="shared" ref="N33:N46" si="6">SUM(L33-M33)</f>
        <v>-30788024.34221375</v>
      </c>
    </row>
    <row r="34" spans="1:14" x14ac:dyDescent="0.2">
      <c r="A34" s="47" t="s">
        <v>35</v>
      </c>
      <c r="C34" s="49"/>
      <c r="D34" s="93">
        <f>+[4]Hoja1!$BA$35</f>
        <v>13288889.674337907</v>
      </c>
      <c r="E34" s="42">
        <f>SUM([6]rdo!E35)</f>
        <v>16774498.880000001</v>
      </c>
      <c r="F34" s="94">
        <f t="shared" si="4"/>
        <v>-3485609.2056620941</v>
      </c>
      <c r="G34" s="44"/>
      <c r="H34" s="45">
        <f>SUM(D34+[2]Hoja1!$I$34)</f>
        <v>87138479.424337909</v>
      </c>
      <c r="I34" s="42">
        <f>SUM(E34+[2]Hoja1!$J$34)</f>
        <v>7249169.4794021454</v>
      </c>
      <c r="J34" s="56">
        <f t="shared" si="5"/>
        <v>79889309.944935769</v>
      </c>
      <c r="K34" s="37"/>
      <c r="L34" s="41">
        <f>+D34+[5]COMPRES!$L$34</f>
        <v>104734916.44971266</v>
      </c>
      <c r="M34" s="42">
        <v>110203481.60999998</v>
      </c>
      <c r="N34" s="56">
        <f t="shared" si="6"/>
        <v>-5468565.1602873206</v>
      </c>
    </row>
    <row r="35" spans="1:14" x14ac:dyDescent="0.2">
      <c r="A35" s="47" t="s">
        <v>36</v>
      </c>
      <c r="C35" s="49"/>
      <c r="D35" s="93">
        <f>+[4]Hoja1!$BA$36</f>
        <v>6105732.6685507884</v>
      </c>
      <c r="E35" s="42">
        <f>SUM([6]rdo!E36)</f>
        <v>7232715.3600000003</v>
      </c>
      <c r="F35" s="94">
        <f t="shared" si="4"/>
        <v>-1126982.6914492119</v>
      </c>
      <c r="G35" s="44"/>
      <c r="H35" s="45">
        <f>SUM(D35+[2]Hoja1!$I$35)</f>
        <v>37954999.868550785</v>
      </c>
      <c r="I35" s="42">
        <f>SUM(E35+[2]Hoja1!$J$35)</f>
        <v>3408457.9472483667</v>
      </c>
      <c r="J35" s="56">
        <f t="shared" si="5"/>
        <v>34546541.921302415</v>
      </c>
      <c r="K35" s="37"/>
      <c r="L35" s="41">
        <f>+D35+[5]COMPRES!$L$35</f>
        <v>50465980.440673903</v>
      </c>
      <c r="M35" s="42">
        <v>53290369</v>
      </c>
      <c r="N35" s="56">
        <f t="shared" si="6"/>
        <v>-2824388.5593260974</v>
      </c>
    </row>
    <row r="36" spans="1:14" x14ac:dyDescent="0.2">
      <c r="A36" s="47" t="s">
        <v>37</v>
      </c>
      <c r="C36" s="49"/>
      <c r="D36" s="93">
        <f>+[4]Hoja1!$BA$37</f>
        <v>5981604.3368407367</v>
      </c>
      <c r="E36" s="42">
        <f>SUM([6]rdo!E37)</f>
        <v>3092196.71</v>
      </c>
      <c r="F36" s="94">
        <f t="shared" si="4"/>
        <v>2889407.6268407367</v>
      </c>
      <c r="G36" s="44"/>
      <c r="H36" s="45">
        <f>SUM(D36+[2]Hoja1!$I$36)</f>
        <v>28886355.976840738</v>
      </c>
      <c r="I36" s="42">
        <f>SUM(E36+[2]Hoja1!$J$36)</f>
        <v>-777217.87127388734</v>
      </c>
      <c r="J36" s="56">
        <f t="shared" si="5"/>
        <v>29663573.848114625</v>
      </c>
      <c r="K36" s="37"/>
      <c r="L36" s="41">
        <f>+D36+[5]COMPRES!$L$36</f>
        <v>42814384.185960583</v>
      </c>
      <c r="M36" s="42">
        <v>37761374.450000003</v>
      </c>
      <c r="N36" s="56">
        <f t="shared" si="6"/>
        <v>5053009.7359605804</v>
      </c>
    </row>
    <row r="37" spans="1:14" x14ac:dyDescent="0.2">
      <c r="A37" s="47" t="s">
        <v>38</v>
      </c>
      <c r="C37" s="49"/>
      <c r="D37" s="93">
        <f>+[4]Hoja1!$BA$38</f>
        <v>4144083.5680873552</v>
      </c>
      <c r="E37" s="42">
        <f>SUM([6]rdo!E38)</f>
        <v>2236385.64</v>
      </c>
      <c r="F37" s="94">
        <f t="shared" si="4"/>
        <v>1907697.9280873551</v>
      </c>
      <c r="G37" s="44"/>
      <c r="H37" s="67">
        <f>SUM(D37+[2]Hoja1!$I$37)</f>
        <v>17205812.578087356</v>
      </c>
      <c r="I37" s="42">
        <f>SUM(E37+[2]Hoja1!$J$37)</f>
        <v>-1306758.6702735019</v>
      </c>
      <c r="J37" s="56">
        <f t="shared" si="5"/>
        <v>18512571.248360857</v>
      </c>
      <c r="K37" s="37"/>
      <c r="L37" s="41">
        <f>+D37+[5]COMPRES!$L$37+2</f>
        <v>29654469.463565357</v>
      </c>
      <c r="M37" s="42">
        <v>28029580.120000001</v>
      </c>
      <c r="N37" s="94">
        <f t="shared" si="6"/>
        <v>1624889.343565356</v>
      </c>
    </row>
    <row r="38" spans="1:14" x14ac:dyDescent="0.2">
      <c r="A38" s="47" t="s">
        <v>39</v>
      </c>
      <c r="B38" s="95"/>
      <c r="C38" s="95"/>
      <c r="D38" s="96">
        <v>0</v>
      </c>
      <c r="E38" s="97">
        <v>0</v>
      </c>
      <c r="F38" s="98">
        <f t="shared" si="4"/>
        <v>0</v>
      </c>
      <c r="G38" s="99">
        <f>SUM(E38)</f>
        <v>0</v>
      </c>
      <c r="H38" s="100" t="e">
        <f>SUM(G38/G61)*100</f>
        <v>#DIV/0!</v>
      </c>
      <c r="I38" s="4"/>
      <c r="J38" s="4"/>
      <c r="L38" s="96">
        <v>0</v>
      </c>
      <c r="M38" s="97">
        <v>0</v>
      </c>
      <c r="N38" s="94">
        <f t="shared" si="6"/>
        <v>0</v>
      </c>
    </row>
    <row r="39" spans="1:14" x14ac:dyDescent="0.2">
      <c r="B39" s="29" t="s">
        <v>40</v>
      </c>
      <c r="C39" s="49"/>
      <c r="D39" s="57">
        <f>SUM(D33:D38)</f>
        <v>103551989.62319908</v>
      </c>
      <c r="E39" s="58">
        <f>SUM(E33:E38)</f>
        <v>108519866.84999999</v>
      </c>
      <c r="F39" s="59">
        <f t="shared" si="4"/>
        <v>-4967877.2268009186</v>
      </c>
      <c r="G39" s="60"/>
      <c r="H39" s="61">
        <f>SUM(H33:H37)</f>
        <v>756119466.03319895</v>
      </c>
      <c r="I39" s="58">
        <f>SUM(I33:I37)</f>
        <v>75341529.565375715</v>
      </c>
      <c r="J39" s="62">
        <f t="shared" si="5"/>
        <v>680777936.46782327</v>
      </c>
      <c r="K39" s="37"/>
      <c r="L39" s="57">
        <f>SUM(L33:L38)-2</f>
        <v>905689135.89769864</v>
      </c>
      <c r="M39" s="58">
        <v>938092216.88</v>
      </c>
      <c r="N39" s="62">
        <f t="shared" si="6"/>
        <v>-32403080.982301354</v>
      </c>
    </row>
    <row r="40" spans="1:14" x14ac:dyDescent="0.2">
      <c r="A40" s="47" t="s">
        <v>41</v>
      </c>
      <c r="C40" s="49"/>
      <c r="D40" s="88">
        <f>+[4]Hoja1!$BA$40</f>
        <v>67468.029279270893</v>
      </c>
      <c r="E40" s="101">
        <f>SUM([6]rdo!E40)</f>
        <v>150620.46</v>
      </c>
      <c r="F40" s="90">
        <f t="shared" si="4"/>
        <v>-83152.430720729099</v>
      </c>
      <c r="G40" s="102"/>
      <c r="H40" s="91">
        <f>SUM(D40+[2]Hoja1!$I$39)</f>
        <v>652634944.4392792</v>
      </c>
      <c r="I40" s="89">
        <f>SUM(E40+[2]Hoja1!$J$39)</f>
        <v>-33027716.824624337</v>
      </c>
      <c r="J40" s="92">
        <f t="shared" si="5"/>
        <v>685662661.2639035</v>
      </c>
      <c r="K40" s="37"/>
      <c r="L40" s="50">
        <f>+D40+[5]COMPRES!$L$40</f>
        <v>1168642.4279560063</v>
      </c>
      <c r="M40" s="51">
        <v>962396.78</v>
      </c>
      <c r="N40" s="92">
        <f t="shared" si="6"/>
        <v>206245.64795600623</v>
      </c>
    </row>
    <row r="41" spans="1:14" x14ac:dyDescent="0.2">
      <c r="A41" s="47" t="s">
        <v>42</v>
      </c>
      <c r="C41" s="49"/>
      <c r="D41" s="41">
        <f>+[4]Hoja1!$BA$41</f>
        <v>105194.24146173382</v>
      </c>
      <c r="E41" s="42">
        <f>SUM([6]rdo!E41)</f>
        <v>134863.24</v>
      </c>
      <c r="F41" s="94">
        <f t="shared" si="4"/>
        <v>-29668.998538266169</v>
      </c>
      <c r="G41" s="44"/>
      <c r="H41" s="45">
        <f>SUM(D41+[2]Hoja1!$I$40)</f>
        <v>840929.41146173386</v>
      </c>
      <c r="I41" s="42">
        <f>SUM(E41+[2]Hoja1!$J$40)</f>
        <v>420107.79788228532</v>
      </c>
      <c r="J41" s="103">
        <f t="shared" si="5"/>
        <v>420821.61357944855</v>
      </c>
      <c r="K41" s="37"/>
      <c r="L41" s="41">
        <f>+D41+[5]COMPRES!$L$41</f>
        <v>512392.98416286852</v>
      </c>
      <c r="M41" s="42">
        <v>1164898.2</v>
      </c>
      <c r="N41" s="56">
        <f t="shared" si="6"/>
        <v>-652505.21583713149</v>
      </c>
    </row>
    <row r="42" spans="1:14" x14ac:dyDescent="0.2">
      <c r="A42" s="47" t="s">
        <v>43</v>
      </c>
      <c r="C42" s="49"/>
      <c r="D42" s="41">
        <f>+[4]Hoja1!$BA$42</f>
        <v>139252.50228767644</v>
      </c>
      <c r="E42" s="42">
        <f>SUM([6]rdo!E42)</f>
        <v>292998.55</v>
      </c>
      <c r="F42" s="94">
        <f t="shared" si="4"/>
        <v>-153746.04771232355</v>
      </c>
      <c r="G42" s="44"/>
      <c r="H42" s="45">
        <f>SUM(D42+[2]Hoja1!$I$41)</f>
        <v>179748.40228767644</v>
      </c>
      <c r="I42" s="42">
        <f>SUM(E42+[2]Hoja1!$J$41)</f>
        <v>314104.41214633733</v>
      </c>
      <c r="J42" s="103">
        <f t="shared" si="5"/>
        <v>-134356.00985866089</v>
      </c>
      <c r="K42" s="37"/>
      <c r="L42" s="41">
        <f>+D42+[5]COMPRES!$L$42</f>
        <v>2668873.4285536562</v>
      </c>
      <c r="M42" s="42">
        <v>2999378.6100000003</v>
      </c>
      <c r="N42" s="56">
        <f t="shared" si="6"/>
        <v>-330505.18144634413</v>
      </c>
    </row>
    <row r="43" spans="1:14" x14ac:dyDescent="0.2">
      <c r="A43" s="47" t="s">
        <v>44</v>
      </c>
      <c r="C43" s="49"/>
      <c r="D43" s="41">
        <f>+[4]Hoja1!$BA$43</f>
        <v>31499.028519605377</v>
      </c>
      <c r="E43" s="42">
        <f>SUM([6]rdo!E43)</f>
        <v>160304.45000000001</v>
      </c>
      <c r="F43" s="94">
        <f t="shared" si="4"/>
        <v>-128805.42148039464</v>
      </c>
      <c r="G43" s="44"/>
      <c r="H43" s="45">
        <f>SUM(D43+[2]Hoja1!$I$42)</f>
        <v>1638859.2285196052</v>
      </c>
      <c r="I43" s="42">
        <f>SUM(E43+[2]Hoja1!$J$42)</f>
        <v>680787.99601779692</v>
      </c>
      <c r="J43" s="103">
        <f t="shared" si="5"/>
        <v>958071.23250180832</v>
      </c>
      <c r="K43" s="37"/>
      <c r="L43" s="41">
        <f>+D43+[5]COMPRES!$L$43</f>
        <v>191524.14598285177</v>
      </c>
      <c r="M43" s="42">
        <v>350176.49</v>
      </c>
      <c r="N43" s="56">
        <f t="shared" si="6"/>
        <v>-158652.34401714822</v>
      </c>
    </row>
    <row r="44" spans="1:14" x14ac:dyDescent="0.2">
      <c r="A44" s="47" t="s">
        <v>45</v>
      </c>
      <c r="C44" s="49"/>
      <c r="D44" s="41">
        <f>+[4]Hoja1!$BA$44</f>
        <v>18002.299598142279</v>
      </c>
      <c r="E44" s="42">
        <f>SUM([6]rdo!E44)</f>
        <v>17564.490000000002</v>
      </c>
      <c r="F44" s="94">
        <f t="shared" si="4"/>
        <v>437.80959814227754</v>
      </c>
      <c r="G44" s="44"/>
      <c r="H44" s="45">
        <f>SUM(D44+[2]Hoja1!$I$43)</f>
        <v>229684.59959814226</v>
      </c>
      <c r="I44" s="42">
        <f>SUM(E44+[2]Hoja1!$J$43)</f>
        <v>111462.2208828297</v>
      </c>
      <c r="J44" s="103">
        <f t="shared" si="5"/>
        <v>118222.37871531256</v>
      </c>
      <c r="K44" s="37"/>
      <c r="L44" s="41">
        <f>+D44+[5]COMPRES!$L$44</f>
        <v>454339.40956214274</v>
      </c>
      <c r="M44" s="42">
        <v>448361.70999999996</v>
      </c>
      <c r="N44" s="56">
        <f t="shared" si="6"/>
        <v>5977.6995621427777</v>
      </c>
    </row>
    <row r="45" spans="1:14" ht="15" x14ac:dyDescent="0.25">
      <c r="A45" s="47" t="s">
        <v>46</v>
      </c>
      <c r="C45" s="49"/>
      <c r="D45" s="63">
        <f>+[4]Hoja1!$BA$45</f>
        <v>0</v>
      </c>
      <c r="E45" s="64">
        <f>+[6]rdo!E45</f>
        <v>0</v>
      </c>
      <c r="F45" s="94">
        <f t="shared" si="4"/>
        <v>0</v>
      </c>
      <c r="G45" s="102"/>
      <c r="H45" s="55">
        <f>SUM(D45+[2]Hoja1!$I$44)</f>
        <v>290385.82999999996</v>
      </c>
      <c r="I45" s="64">
        <f>SUM(E45+[2]Hoja1!$J$44)</f>
        <v>169352.92368459678</v>
      </c>
      <c r="J45" s="56">
        <f t="shared" si="5"/>
        <v>121032.90631540318</v>
      </c>
      <c r="K45" s="148"/>
      <c r="L45" s="63">
        <v>0</v>
      </c>
      <c r="M45" s="64">
        <v>0</v>
      </c>
      <c r="N45" s="56">
        <f t="shared" si="6"/>
        <v>0</v>
      </c>
    </row>
    <row r="46" spans="1:14" x14ac:dyDescent="0.2">
      <c r="A46" s="47" t="s">
        <v>47</v>
      </c>
      <c r="C46" s="49"/>
      <c r="D46" s="41">
        <f>+[4]Hoja1!$BA$46</f>
        <v>1335.7411076768572</v>
      </c>
      <c r="E46" s="42">
        <f>SUM([6]rdo!E46)</f>
        <v>7956.02</v>
      </c>
      <c r="F46" s="94">
        <f t="shared" si="4"/>
        <v>-6620.2788923231437</v>
      </c>
      <c r="G46" s="44"/>
      <c r="H46" s="45">
        <f>SUM(D46+[2]Hoja1!$I$45)</f>
        <v>1335.7411076768572</v>
      </c>
      <c r="I46" s="42">
        <f>SUM(E46+[2]Hoja1!$J$45)</f>
        <v>7956.02</v>
      </c>
      <c r="J46" s="103">
        <f t="shared" si="5"/>
        <v>-6620.2788923231437</v>
      </c>
      <c r="K46" s="37"/>
      <c r="L46" s="41">
        <f>+D46+[5]COMPRES!$L$46</f>
        <v>128774.52902193912</v>
      </c>
      <c r="M46" s="42">
        <v>197791.21</v>
      </c>
      <c r="N46" s="56">
        <f t="shared" si="6"/>
        <v>-69016.680978060875</v>
      </c>
    </row>
    <row r="47" spans="1:14" x14ac:dyDescent="0.2">
      <c r="A47" s="47" t="s">
        <v>48</v>
      </c>
      <c r="C47" s="49"/>
      <c r="D47" s="41">
        <f>+[4]Hoja1!$BA$47</f>
        <v>24288.889177408422</v>
      </c>
      <c r="E47" s="108">
        <f>SUM([6]rdo!E47)</f>
        <v>25691.02</v>
      </c>
      <c r="F47" s="94">
        <f>SUM(D47-E47)</f>
        <v>-1402.1308225915782</v>
      </c>
      <c r="G47" s="44"/>
      <c r="H47" s="45">
        <f>SUM(D47+[2]Hoja1!$I$46)</f>
        <v>172183.88917740842</v>
      </c>
      <c r="I47" s="42">
        <f>SUM(E47+[2]Hoja1!$J$46)</f>
        <v>234407.62819465136</v>
      </c>
      <c r="J47" s="56">
        <f t="shared" si="5"/>
        <v>-62223.739017242944</v>
      </c>
      <c r="K47" s="37"/>
      <c r="L47" s="41">
        <f>+D47+[5]COMPRES!$L$47+1</f>
        <v>234424.79172510529</v>
      </c>
      <c r="M47" s="42">
        <v>76156.22</v>
      </c>
      <c r="N47" s="56">
        <f t="shared" ref="N47:N62" si="7">SUM(L47-M47)</f>
        <v>158268.57172510528</v>
      </c>
    </row>
    <row r="48" spans="1:14" x14ac:dyDescent="0.2">
      <c r="B48" s="29" t="s">
        <v>49</v>
      </c>
      <c r="C48" s="49"/>
      <c r="D48" s="57">
        <f>SUM(D40:D47)</f>
        <v>387040.73143151414</v>
      </c>
      <c r="E48" s="109">
        <f>SUM(E40:E47)</f>
        <v>789998.23</v>
      </c>
      <c r="F48" s="59">
        <f t="shared" si="4"/>
        <v>-402957.49856848584</v>
      </c>
      <c r="G48" s="60"/>
      <c r="H48" s="61">
        <f>SUM(H40:H47)</f>
        <v>655988071.54143155</v>
      </c>
      <c r="I48" s="58">
        <f>SUM(I40:I47)</f>
        <v>-31089537.825815842</v>
      </c>
      <c r="J48" s="62">
        <f t="shared" si="5"/>
        <v>687077609.36724734</v>
      </c>
      <c r="K48" s="37"/>
      <c r="L48" s="57">
        <f>SUM(L40:L47)-1</f>
        <v>5358970.7169645708</v>
      </c>
      <c r="M48" s="109">
        <v>6199159.2199999997</v>
      </c>
      <c r="N48" s="62">
        <f t="shared" si="7"/>
        <v>-840188.50303542893</v>
      </c>
    </row>
    <row r="49" spans="1:15" x14ac:dyDescent="0.2">
      <c r="C49" s="30" t="s">
        <v>50</v>
      </c>
      <c r="D49" s="110">
        <f>SUM(D48,D39)</f>
        <v>103939030.35463059</v>
      </c>
      <c r="E49" s="109">
        <f>SUM(E48,E39)</f>
        <v>109309865.08</v>
      </c>
      <c r="F49" s="59">
        <f t="shared" si="4"/>
        <v>-5370834.7253694087</v>
      </c>
      <c r="G49" s="111"/>
      <c r="H49" s="112">
        <f>SUM(H48,H39)</f>
        <v>1412107537.5746305</v>
      </c>
      <c r="I49" s="109">
        <f>SUM(I48,I39)</f>
        <v>44251991.739559874</v>
      </c>
      <c r="J49" s="62">
        <f t="shared" si="5"/>
        <v>1367855545.8350706</v>
      </c>
      <c r="K49" s="37"/>
      <c r="L49" s="110">
        <f>SUM(L48,L39)</f>
        <v>911048106.61466324</v>
      </c>
      <c r="M49" s="109">
        <v>944291376.10000002</v>
      </c>
      <c r="N49" s="62">
        <f t="shared" si="7"/>
        <v>-33243269.485336781</v>
      </c>
    </row>
    <row r="50" spans="1:15" x14ac:dyDescent="0.2">
      <c r="A50" s="47" t="s">
        <v>51</v>
      </c>
      <c r="C50" s="49"/>
      <c r="D50" s="91">
        <v>85000</v>
      </c>
      <c r="E50" s="89">
        <f>+[6]IYE!U51</f>
        <v>0</v>
      </c>
      <c r="F50" s="90">
        <f t="shared" si="4"/>
        <v>85000</v>
      </c>
      <c r="G50" s="102"/>
      <c r="H50" s="91">
        <f>SUM(D50+[2]Hoja1!$I$49)</f>
        <v>655824271.24000001</v>
      </c>
      <c r="I50" s="89">
        <f>SUM(E50+[2]Hoja1!$J$49)</f>
        <v>-31918704.151584148</v>
      </c>
      <c r="J50" s="92">
        <f t="shared" si="5"/>
        <v>687742975.39158416</v>
      </c>
      <c r="K50" s="37"/>
      <c r="L50" s="50">
        <f>+D50+[5]COMPRES!$L$50</f>
        <v>425000</v>
      </c>
      <c r="M50" s="51">
        <v>79773.600000000006</v>
      </c>
      <c r="N50" s="92">
        <f t="shared" si="7"/>
        <v>345226.4</v>
      </c>
    </row>
    <row r="51" spans="1:15" x14ac:dyDescent="0.2">
      <c r="A51" s="47" t="s">
        <v>52</v>
      </c>
      <c r="C51" s="49"/>
      <c r="D51" s="55">
        <v>0</v>
      </c>
      <c r="E51" s="113">
        <f>+[6]IYE!U52</f>
        <v>16876.5</v>
      </c>
      <c r="F51" s="94">
        <f>SUM(D51-E51)</f>
        <v>-16876.5</v>
      </c>
      <c r="G51" s="102"/>
      <c r="H51" s="55">
        <f>SUM(D51+[2]Hoja1!$I$50)</f>
        <v>168000</v>
      </c>
      <c r="I51" s="42">
        <f>SUM(E51+[2]Hoja1!$J$50)</f>
        <v>53376.5</v>
      </c>
      <c r="J51" s="56">
        <f t="shared" si="5"/>
        <v>114623.5</v>
      </c>
      <c r="K51" s="37"/>
      <c r="L51" s="41">
        <f>+D51+[5]COMPRES!$L$51</f>
        <v>100000</v>
      </c>
      <c r="M51" s="42">
        <v>117623.72</v>
      </c>
      <c r="N51" s="56">
        <f t="shared" si="7"/>
        <v>-17623.72</v>
      </c>
    </row>
    <row r="52" spans="1:15" x14ac:dyDescent="0.2">
      <c r="A52" s="47" t="s">
        <v>53</v>
      </c>
      <c r="C52" s="49"/>
      <c r="D52" s="55">
        <v>0</v>
      </c>
      <c r="E52" s="113">
        <f>+[6]IYE!U53</f>
        <v>0</v>
      </c>
      <c r="F52" s="94">
        <f t="shared" si="4"/>
        <v>0</v>
      </c>
      <c r="G52" s="102"/>
      <c r="H52" s="55">
        <f>SUM(D52+[2]Hoja1!$I$51)</f>
        <v>181001.05</v>
      </c>
      <c r="I52" s="64">
        <f>SUM(E52+[2]Hoja1!$J$51)</f>
        <v>358031.95</v>
      </c>
      <c r="J52" s="56">
        <f t="shared" si="5"/>
        <v>-177030.90000000002</v>
      </c>
      <c r="K52" s="37"/>
      <c r="L52" s="143">
        <v>0</v>
      </c>
      <c r="M52" s="104">
        <v>0</v>
      </c>
      <c r="N52" s="56">
        <f t="shared" si="7"/>
        <v>0</v>
      </c>
    </row>
    <row r="53" spans="1:15" x14ac:dyDescent="0.2">
      <c r="A53" s="47" t="s">
        <v>54</v>
      </c>
      <c r="C53" s="49"/>
      <c r="D53" s="55">
        <v>1409751</v>
      </c>
      <c r="E53" s="113">
        <f>+[6]IYE!U54</f>
        <v>952432.27</v>
      </c>
      <c r="F53" s="94">
        <f t="shared" si="4"/>
        <v>457318.73</v>
      </c>
      <c r="G53" s="102"/>
      <c r="H53" s="55">
        <f>SUM(D53+[2]Hoja1!$I$52)</f>
        <v>1409751</v>
      </c>
      <c r="I53" s="42">
        <f>SUM(E53+[2]Hoja1!$J$52)</f>
        <v>952432.27</v>
      </c>
      <c r="J53" s="56">
        <f t="shared" si="5"/>
        <v>457318.73</v>
      </c>
      <c r="K53" s="37"/>
      <c r="L53" s="41">
        <f>+D53+[5]COMPRES!$L$53</f>
        <v>23688008</v>
      </c>
      <c r="M53" s="42">
        <v>22649645.649999999</v>
      </c>
      <c r="N53" s="56">
        <f t="shared" si="7"/>
        <v>1038362.3500000015</v>
      </c>
    </row>
    <row r="54" spans="1:15" x14ac:dyDescent="0.2">
      <c r="A54" s="47" t="s">
        <v>55</v>
      </c>
      <c r="C54" s="49"/>
      <c r="D54" s="55">
        <f>2600000-250000</f>
        <v>2350000</v>
      </c>
      <c r="E54" s="113">
        <f>+[6]IYE!U55</f>
        <v>23414.12</v>
      </c>
      <c r="F54" s="94">
        <f>SUM(D54-E54)</f>
        <v>2326585.88</v>
      </c>
      <c r="G54" s="102"/>
      <c r="H54" s="55">
        <f>SUM(D54+[2]Hoja1!$I$53)</f>
        <v>26063675.899999999</v>
      </c>
      <c r="I54" s="42">
        <f>SUM(E54+[2]Hoja1!$J$53)</f>
        <v>-4653470.7799999984</v>
      </c>
      <c r="J54" s="56">
        <f t="shared" si="5"/>
        <v>30717146.679999996</v>
      </c>
      <c r="K54" s="37"/>
      <c r="L54" s="41">
        <f>+D54+[5]COMPRES!$L$54</f>
        <v>4950000</v>
      </c>
      <c r="M54" s="42">
        <v>4029125.55</v>
      </c>
      <c r="N54" s="56">
        <f t="shared" si="7"/>
        <v>920874.45000000019</v>
      </c>
      <c r="O54" s="66"/>
    </row>
    <row r="55" spans="1:15" x14ac:dyDescent="0.2">
      <c r="A55" s="47" t="s">
        <v>56</v>
      </c>
      <c r="C55" s="49"/>
      <c r="D55" s="55">
        <v>750000</v>
      </c>
      <c r="E55" s="113">
        <f>+[6]IYE!U56</f>
        <v>1084824.3400000001</v>
      </c>
      <c r="F55" s="94">
        <f t="shared" si="4"/>
        <v>-334824.34000000008</v>
      </c>
      <c r="G55" s="102"/>
      <c r="H55" s="55">
        <f>SUM(D55+[2]Hoja1!$I$54)</f>
        <v>766195</v>
      </c>
      <c r="I55" s="42">
        <f>SUM(E55+[2]Hoja1!$J$54)</f>
        <v>1419961.34</v>
      </c>
      <c r="J55" s="56">
        <f t="shared" si="5"/>
        <v>-653766.34000000008</v>
      </c>
      <c r="K55" s="37"/>
      <c r="L55" s="41">
        <f>+D55+[5]COMPRES!$L$55</f>
        <v>9800000</v>
      </c>
      <c r="M55" s="42">
        <v>9460251.370000001</v>
      </c>
      <c r="N55" s="56">
        <f t="shared" si="7"/>
        <v>339748.62999999896</v>
      </c>
    </row>
    <row r="56" spans="1:15" x14ac:dyDescent="0.2">
      <c r="A56" s="47" t="s">
        <v>57</v>
      </c>
      <c r="C56" s="49"/>
      <c r="D56" s="55">
        <v>400000</v>
      </c>
      <c r="E56" s="113">
        <f>+[6]IYE!U57</f>
        <v>1036997.51</v>
      </c>
      <c r="F56" s="94">
        <f t="shared" si="4"/>
        <v>-636997.51</v>
      </c>
      <c r="G56" s="102"/>
      <c r="H56" s="55">
        <f>SUM(D56+[2]Hoja1!$I$55)</f>
        <v>2146494.88</v>
      </c>
      <c r="I56" s="42">
        <f>SUM(E56+[2]Hoja1!$J$55)</f>
        <v>2186609.08</v>
      </c>
      <c r="J56" s="56">
        <f t="shared" si="5"/>
        <v>-40114.200000000186</v>
      </c>
      <c r="K56" s="37"/>
      <c r="L56" s="41">
        <f>+D56+[5]COMPRES!$L$56</f>
        <v>3839751</v>
      </c>
      <c r="M56" s="42">
        <v>4183269.1199999992</v>
      </c>
      <c r="N56" s="56">
        <f t="shared" si="7"/>
        <v>-343518.11999999918</v>
      </c>
    </row>
    <row r="57" spans="1:15" x14ac:dyDescent="0.2">
      <c r="A57" s="47" t="s">
        <v>58</v>
      </c>
      <c r="C57" s="49"/>
      <c r="D57" s="55">
        <v>100000</v>
      </c>
      <c r="E57" s="113">
        <f>+[6]IYE!U58</f>
        <v>0</v>
      </c>
      <c r="F57" s="94">
        <f t="shared" si="4"/>
        <v>100000</v>
      </c>
      <c r="G57" s="102"/>
      <c r="H57" s="55">
        <f>SUM(D57+[2]Hoja1!$I$56)</f>
        <v>4312298.28</v>
      </c>
      <c r="I57" s="42">
        <f>SUM(E57+[2]Hoja1!$J$56)</f>
        <v>-17910.730000000447</v>
      </c>
      <c r="J57" s="56">
        <f t="shared" si="5"/>
        <v>4330209.0100000007</v>
      </c>
      <c r="K57" s="37"/>
      <c r="L57" s="41">
        <f>+D57+[5]COMPRES!$L$57</f>
        <v>3500000</v>
      </c>
      <c r="M57" s="42">
        <v>2351702.5499999998</v>
      </c>
      <c r="N57" s="56">
        <f t="shared" si="7"/>
        <v>1148297.4500000002</v>
      </c>
    </row>
    <row r="58" spans="1:15" x14ac:dyDescent="0.2">
      <c r="A58" s="47" t="s">
        <v>59</v>
      </c>
      <c r="C58" s="49"/>
      <c r="D58" s="55">
        <f>310000+250000</f>
        <v>560000</v>
      </c>
      <c r="E58" s="113">
        <f>+[6]IYE!U59</f>
        <v>553371.66</v>
      </c>
      <c r="F58" s="94">
        <f t="shared" si="4"/>
        <v>6628.3399999999674</v>
      </c>
      <c r="G58" s="102"/>
      <c r="H58" s="55">
        <f>SUM(D58+[2]Hoja1!$I$57)</f>
        <v>1768098</v>
      </c>
      <c r="I58" s="42">
        <f>SUM(E58+[2]Hoja1!$J$57)</f>
        <v>3503964.85</v>
      </c>
      <c r="J58" s="56">
        <f t="shared" si="5"/>
        <v>-1735866.85</v>
      </c>
      <c r="K58" s="37"/>
      <c r="L58" s="41">
        <f>+D58+[5]COMPRES!$L$58</f>
        <v>4920000</v>
      </c>
      <c r="M58" s="42">
        <v>6286173.6799999997</v>
      </c>
      <c r="N58" s="56">
        <f t="shared" si="7"/>
        <v>-1366173.6799999997</v>
      </c>
    </row>
    <row r="59" spans="1:15" x14ac:dyDescent="0.2">
      <c r="A59" s="47" t="s">
        <v>60</v>
      </c>
      <c r="C59" s="49"/>
      <c r="D59" s="55">
        <v>85000</v>
      </c>
      <c r="E59" s="113">
        <f>+[6]IYE!U60</f>
        <v>24000</v>
      </c>
      <c r="F59" s="94">
        <f t="shared" si="4"/>
        <v>61000</v>
      </c>
      <c r="G59" s="102"/>
      <c r="H59" s="55">
        <f>SUM(D59+[2]Hoja1!$I$58)</f>
        <v>-463545.14000000013</v>
      </c>
      <c r="I59" s="64">
        <f>SUM(E59+[2]Hoja1!$J$58)</f>
        <v>2905176.21</v>
      </c>
      <c r="J59" s="56">
        <f t="shared" si="5"/>
        <v>-3368721.35</v>
      </c>
      <c r="K59" s="37"/>
      <c r="L59" s="41">
        <f>+D59+[5]COMPRES!$L$59</f>
        <v>435000</v>
      </c>
      <c r="M59" s="42">
        <v>236893</v>
      </c>
      <c r="N59" s="56">
        <f t="shared" si="7"/>
        <v>198107</v>
      </c>
    </row>
    <row r="60" spans="1:15" x14ac:dyDescent="0.2">
      <c r="A60" s="47" t="s">
        <v>61</v>
      </c>
      <c r="C60" s="49"/>
      <c r="D60" s="55">
        <v>0</v>
      </c>
      <c r="E60" s="113">
        <f>+[6]IYE!U61</f>
        <v>0</v>
      </c>
      <c r="F60" s="94">
        <f t="shared" si="4"/>
        <v>0</v>
      </c>
      <c r="G60" s="102"/>
      <c r="H60" s="55"/>
      <c r="I60" s="64"/>
      <c r="J60" s="56"/>
      <c r="K60" s="37"/>
      <c r="L60" s="143">
        <f>+D60+[5]COMPRES!$L$60</f>
        <v>0</v>
      </c>
      <c r="M60" s="104">
        <v>0</v>
      </c>
      <c r="N60" s="56"/>
    </row>
    <row r="61" spans="1:15" x14ac:dyDescent="0.2">
      <c r="B61" s="29" t="s">
        <v>62</v>
      </c>
      <c r="C61" s="49"/>
      <c r="D61" s="114">
        <f>SUM(D50:D60)</f>
        <v>5739751</v>
      </c>
      <c r="E61" s="115">
        <f>SUM(E50:E60)</f>
        <v>3691916.4000000004</v>
      </c>
      <c r="F61" s="59">
        <f t="shared" si="4"/>
        <v>2047834.5999999996</v>
      </c>
      <c r="G61" s="60"/>
      <c r="H61" s="116">
        <f>SUM(H50:H59)</f>
        <v>692176240.20999992</v>
      </c>
      <c r="I61" s="115">
        <f>SUM(I50:I59)</f>
        <v>-25210533.461584147</v>
      </c>
      <c r="J61" s="62">
        <f>SUM(J50:J59)</f>
        <v>717386773.67158401</v>
      </c>
      <c r="K61" s="37"/>
      <c r="L61" s="114">
        <f>SUM(L50:L60)</f>
        <v>51657759</v>
      </c>
      <c r="M61" s="115">
        <v>49394460.239999995</v>
      </c>
      <c r="N61" s="62">
        <f t="shared" si="7"/>
        <v>2263298.7600000054</v>
      </c>
    </row>
    <row r="62" spans="1:15" x14ac:dyDescent="0.2">
      <c r="C62" s="30" t="s">
        <v>63</v>
      </c>
      <c r="D62" s="117">
        <f>SUM(D49+D61)</f>
        <v>109678781.35463059</v>
      </c>
      <c r="E62" s="118">
        <f>SUM(E49+E61)</f>
        <v>113001781.48</v>
      </c>
      <c r="F62" s="71">
        <f t="shared" si="4"/>
        <v>-3323000.1253694147</v>
      </c>
      <c r="G62" s="72"/>
      <c r="H62" s="119">
        <f>SUM(H49+H61)</f>
        <v>2104283777.7846303</v>
      </c>
      <c r="I62" s="118">
        <f>SUM(I49+I61)</f>
        <v>19041458.277975727</v>
      </c>
      <c r="J62" s="120">
        <f>SUM(J49+J61)</f>
        <v>2085242319.5066547</v>
      </c>
      <c r="K62" s="37"/>
      <c r="L62" s="117">
        <f>SUM(L49+L61)</f>
        <v>962705865.61466324</v>
      </c>
      <c r="M62" s="118">
        <v>993685836.34000003</v>
      </c>
      <c r="N62" s="121">
        <f t="shared" si="7"/>
        <v>-30979970.72533679</v>
      </c>
    </row>
    <row r="63" spans="1:15" x14ac:dyDescent="0.2">
      <c r="A63" s="84" t="s">
        <v>64</v>
      </c>
      <c r="C63" s="30"/>
      <c r="D63" s="41"/>
      <c r="E63" s="85"/>
      <c r="F63" s="43"/>
      <c r="G63" s="44"/>
      <c r="H63" s="41"/>
      <c r="I63" s="85"/>
      <c r="J63" s="43"/>
      <c r="K63" s="37"/>
      <c r="L63" s="41"/>
      <c r="M63" s="85"/>
      <c r="N63" s="43"/>
    </row>
    <row r="64" spans="1:15" x14ac:dyDescent="0.2">
      <c r="A64" s="47" t="s">
        <v>34</v>
      </c>
      <c r="C64" s="30"/>
      <c r="D64" s="50">
        <f t="shared" ref="D64:D69" si="8">+E64</f>
        <v>25200</v>
      </c>
      <c r="E64" s="51">
        <f>SUM([6]rdo!E52)</f>
        <v>25200</v>
      </c>
      <c r="F64" s="52">
        <f t="shared" si="4"/>
        <v>0</v>
      </c>
      <c r="G64" s="44"/>
      <c r="H64" s="50">
        <f>SUM(D64+[2]Hoja1!$I$61)</f>
        <v>30590746.969999999</v>
      </c>
      <c r="I64" s="51">
        <f>SUM(E64+[2]Hoja1!$J$61)</f>
        <v>3291412.2900000014</v>
      </c>
      <c r="J64" s="52">
        <f t="shared" si="5"/>
        <v>27299334.679999996</v>
      </c>
      <c r="K64" s="37"/>
      <c r="L64" s="50">
        <f t="shared" ref="L64:L68" si="9">+M64</f>
        <v>819460.49</v>
      </c>
      <c r="M64" s="51">
        <v>819460.49</v>
      </c>
      <c r="N64" s="52">
        <f t="shared" ref="N64:N73" si="10">SUM(L64-M64)</f>
        <v>0</v>
      </c>
    </row>
    <row r="65" spans="1:14" x14ac:dyDescent="0.2">
      <c r="A65" s="47" t="s">
        <v>35</v>
      </c>
      <c r="C65" s="30"/>
      <c r="D65" s="63">
        <f t="shared" si="8"/>
        <v>872655.61</v>
      </c>
      <c r="E65" s="64">
        <f>SUM([6]rdo!E53)</f>
        <v>872655.61</v>
      </c>
      <c r="F65" s="94">
        <f t="shared" si="4"/>
        <v>0</v>
      </c>
      <c r="G65" s="44"/>
      <c r="H65" s="63">
        <f>SUM(D65+[2]Hoja1!$I$63)</f>
        <v>9397035.6099999994</v>
      </c>
      <c r="I65" s="42">
        <f>SUM(E65+[2]Hoja1!$J$63)</f>
        <v>9394516.6099999994</v>
      </c>
      <c r="J65" s="94">
        <f t="shared" si="5"/>
        <v>2519</v>
      </c>
      <c r="K65" s="37"/>
      <c r="L65" s="122">
        <f t="shared" si="9"/>
        <v>10347740.949999999</v>
      </c>
      <c r="M65" s="42">
        <v>10347740.949999999</v>
      </c>
      <c r="N65" s="94">
        <f t="shared" si="10"/>
        <v>0</v>
      </c>
    </row>
    <row r="66" spans="1:14" x14ac:dyDescent="0.2">
      <c r="A66" s="47" t="s">
        <v>65</v>
      </c>
      <c r="C66" s="30"/>
      <c r="D66" s="63">
        <f t="shared" si="8"/>
        <v>693160.48</v>
      </c>
      <c r="E66" s="64">
        <f>SUM([6]rdo!E54)</f>
        <v>693160.48</v>
      </c>
      <c r="F66" s="94">
        <f t="shared" si="4"/>
        <v>0</v>
      </c>
      <c r="G66" s="44"/>
      <c r="H66" s="63" t="e">
        <f>SUM(D66+[2]Hoja1!$I$64)</f>
        <v>#REF!</v>
      </c>
      <c r="I66" s="42" t="e">
        <f>SUM(E66+[2]Hoja1!$J$64)</f>
        <v>#REF!</v>
      </c>
      <c r="J66" s="94" t="e">
        <f t="shared" si="5"/>
        <v>#REF!</v>
      </c>
      <c r="K66" s="37"/>
      <c r="L66" s="122">
        <f t="shared" si="9"/>
        <v>7454500.4499999993</v>
      </c>
      <c r="M66" s="42">
        <v>7454500.4499999993</v>
      </c>
      <c r="N66" s="94">
        <f t="shared" si="10"/>
        <v>0</v>
      </c>
    </row>
    <row r="67" spans="1:14" x14ac:dyDescent="0.2">
      <c r="A67" s="47" t="s">
        <v>37</v>
      </c>
      <c r="C67" s="30"/>
      <c r="D67" s="63">
        <f t="shared" si="8"/>
        <v>150934.65</v>
      </c>
      <c r="E67" s="64">
        <f>SUM([6]rdo!E55)</f>
        <v>150934.65</v>
      </c>
      <c r="F67" s="94">
        <f t="shared" si="4"/>
        <v>0</v>
      </c>
      <c r="G67" s="44"/>
      <c r="H67" s="63">
        <f>SUM(D67+[2]Hoja1!$I$65)</f>
        <v>10657660.220000001</v>
      </c>
      <c r="I67" s="42">
        <f>SUM(E67+[2]Hoja1!$J$65)</f>
        <v>153453.65</v>
      </c>
      <c r="J67" s="94">
        <f t="shared" si="5"/>
        <v>10504206.57</v>
      </c>
      <c r="K67" s="37"/>
      <c r="L67" s="122">
        <f t="shared" si="9"/>
        <v>3411192.55</v>
      </c>
      <c r="M67" s="42">
        <v>3411192.55</v>
      </c>
      <c r="N67" s="94">
        <f t="shared" si="10"/>
        <v>0</v>
      </c>
    </row>
    <row r="68" spans="1:14" x14ac:dyDescent="0.2">
      <c r="A68" s="47" t="s">
        <v>66</v>
      </c>
      <c r="C68" s="30"/>
      <c r="D68" s="63">
        <f t="shared" si="8"/>
        <v>0</v>
      </c>
      <c r="E68" s="64">
        <f>SUM([6]rdo!E56)</f>
        <v>0</v>
      </c>
      <c r="F68" s="94">
        <f t="shared" si="4"/>
        <v>0</v>
      </c>
      <c r="G68" s="44"/>
      <c r="H68" s="63">
        <f>SUM(D68+[2]Hoja1!$I$66)</f>
        <v>10183033.52</v>
      </c>
      <c r="I68" s="42">
        <f>SUM(E68+[2]Hoja1!$J$66)</f>
        <v>59</v>
      </c>
      <c r="J68" s="94">
        <f t="shared" si="5"/>
        <v>10182974.52</v>
      </c>
      <c r="K68" s="37"/>
      <c r="L68" s="143">
        <f t="shared" si="9"/>
        <v>0</v>
      </c>
      <c r="M68" s="104">
        <v>0</v>
      </c>
      <c r="N68" s="94">
        <f t="shared" si="10"/>
        <v>0</v>
      </c>
    </row>
    <row r="69" spans="1:14" x14ac:dyDescent="0.2">
      <c r="A69" s="47" t="s">
        <v>38</v>
      </c>
      <c r="C69" s="30"/>
      <c r="D69" s="63">
        <f t="shared" si="8"/>
        <v>163817.35999999999</v>
      </c>
      <c r="E69" s="64">
        <f>SUM([6]rdo!E57)</f>
        <v>163817.35999999999</v>
      </c>
      <c r="F69" s="94">
        <f t="shared" si="4"/>
        <v>0</v>
      </c>
      <c r="G69" s="44"/>
      <c r="H69" s="63">
        <f>SUM(D69+[2]Hoja1!$I$67)</f>
        <v>1167135.5699999998</v>
      </c>
      <c r="I69" s="42">
        <f>SUM(E69+[2]Hoja1!$J$67)</f>
        <v>163979.35999999999</v>
      </c>
      <c r="J69" s="94">
        <f t="shared" si="5"/>
        <v>1003156.2099999998</v>
      </c>
      <c r="K69" s="37"/>
      <c r="L69" s="122">
        <f>+M69</f>
        <v>5238671.3499999996</v>
      </c>
      <c r="M69" s="42">
        <v>5238671.3499999996</v>
      </c>
      <c r="N69" s="94">
        <f t="shared" si="10"/>
        <v>0</v>
      </c>
    </row>
    <row r="70" spans="1:14" x14ac:dyDescent="0.2">
      <c r="B70" s="29" t="s">
        <v>67</v>
      </c>
      <c r="C70" s="30"/>
      <c r="D70" s="123">
        <f>SUM(D64:D69)</f>
        <v>1905768.0999999996</v>
      </c>
      <c r="E70" s="124">
        <f>SUM(E64:E69)</f>
        <v>1905768.0999999996</v>
      </c>
      <c r="F70" s="125">
        <f t="shared" si="4"/>
        <v>0</v>
      </c>
      <c r="G70" s="60"/>
      <c r="H70" s="126" t="e">
        <f>SUM(H64:H69)</f>
        <v>#REF!</v>
      </c>
      <c r="I70" s="124" t="e">
        <f>SUM(I64:I69)</f>
        <v>#REF!</v>
      </c>
      <c r="J70" s="127" t="e">
        <f t="shared" si="5"/>
        <v>#REF!</v>
      </c>
      <c r="K70" s="37"/>
      <c r="L70" s="123">
        <f>SUM(L64:L69)-1</f>
        <v>27271564.789999999</v>
      </c>
      <c r="M70" s="124">
        <v>27271564.789999999</v>
      </c>
      <c r="N70" s="127">
        <f t="shared" si="10"/>
        <v>0</v>
      </c>
    </row>
    <row r="71" spans="1:14" x14ac:dyDescent="0.2">
      <c r="A71" s="47" t="s">
        <v>54</v>
      </c>
      <c r="B71" s="29"/>
      <c r="C71" s="30"/>
      <c r="D71" s="50">
        <f>+E71</f>
        <v>0</v>
      </c>
      <c r="E71" s="51">
        <f>+[6]IYE!U73</f>
        <v>0</v>
      </c>
      <c r="F71" s="52">
        <f t="shared" si="4"/>
        <v>0</v>
      </c>
      <c r="G71" s="44"/>
      <c r="H71" s="50">
        <f>SUM(D71+[2]Hoja1!$I$69)</f>
        <v>6363922.6299999999</v>
      </c>
      <c r="I71" s="51">
        <f>SUM(E71+[2]Hoja1!$J$69)</f>
        <v>118</v>
      </c>
      <c r="J71" s="52">
        <f>SUM(H71-I71)</f>
        <v>6363804.6299999999</v>
      </c>
      <c r="K71" s="37"/>
      <c r="L71" s="50">
        <f>+M71</f>
        <v>5370168.3600000003</v>
      </c>
      <c r="M71" s="51">
        <v>5370168.3600000003</v>
      </c>
      <c r="N71" s="52">
        <f t="shared" si="10"/>
        <v>0</v>
      </c>
    </row>
    <row r="72" spans="1:14" x14ac:dyDescent="0.2">
      <c r="A72" s="47" t="s">
        <v>68</v>
      </c>
      <c r="C72" s="30"/>
      <c r="D72" s="63">
        <f>+E72</f>
        <v>3605435.07</v>
      </c>
      <c r="E72" s="64">
        <f>+[6]IYE!U74</f>
        <v>3605435.07</v>
      </c>
      <c r="F72" s="94">
        <f t="shared" si="4"/>
        <v>0</v>
      </c>
      <c r="G72" s="44"/>
      <c r="H72" s="55" t="e">
        <f>SUM(D72+[2]Hoja1!$I$70)</f>
        <v>#REF!</v>
      </c>
      <c r="I72" s="42" t="e">
        <f>SUM(E72+[2]Hoja1!$J$70)</f>
        <v>#REF!</v>
      </c>
      <c r="J72" s="56" t="e">
        <f t="shared" si="5"/>
        <v>#REF!</v>
      </c>
      <c r="K72" s="37"/>
      <c r="L72" s="122">
        <f>+M72</f>
        <v>19403838.339999996</v>
      </c>
      <c r="M72" s="42">
        <v>19403838.339999996</v>
      </c>
      <c r="N72" s="56">
        <f t="shared" si="10"/>
        <v>0</v>
      </c>
    </row>
    <row r="73" spans="1:14" x14ac:dyDescent="0.2">
      <c r="A73" s="47" t="s">
        <v>69</v>
      </c>
      <c r="C73" s="30"/>
      <c r="D73" s="63">
        <f>+E73</f>
        <v>0</v>
      </c>
      <c r="E73" s="64">
        <f>+[6]IYE!U75</f>
        <v>0</v>
      </c>
      <c r="F73" s="94">
        <f t="shared" si="4"/>
        <v>0</v>
      </c>
      <c r="G73" s="44"/>
      <c r="H73" s="55">
        <f>SUM(D73+[2]Hoja1!$I$71)</f>
        <v>58016772.629999995</v>
      </c>
      <c r="I73" s="104">
        <f>SUM(E73+[2]Hoja1!$J$71)</f>
        <v>70</v>
      </c>
      <c r="J73" s="56">
        <f t="shared" si="5"/>
        <v>58016702.629999995</v>
      </c>
      <c r="K73" s="37"/>
      <c r="L73" s="143">
        <f>+M73</f>
        <v>0</v>
      </c>
      <c r="M73" s="104">
        <v>0</v>
      </c>
      <c r="N73" s="56">
        <f t="shared" si="10"/>
        <v>0</v>
      </c>
    </row>
    <row r="74" spans="1:14" x14ac:dyDescent="0.2">
      <c r="B74" s="29" t="s">
        <v>70</v>
      </c>
      <c r="C74" s="49"/>
      <c r="D74" s="123">
        <f>SUM(D71:D73)</f>
        <v>3605435.07</v>
      </c>
      <c r="E74" s="124">
        <f>SUM(E71:E73)</f>
        <v>3605435.07</v>
      </c>
      <c r="F74" s="125">
        <f>SUM(F71:F73)</f>
        <v>0</v>
      </c>
      <c r="G74" s="60"/>
      <c r="H74" s="126" t="e">
        <f>SUM(H71:H73)</f>
        <v>#REF!</v>
      </c>
      <c r="I74" s="124" t="e">
        <f>SUM(I71:I73)</f>
        <v>#REF!</v>
      </c>
      <c r="J74" s="127" t="e">
        <f t="shared" si="5"/>
        <v>#REF!</v>
      </c>
      <c r="K74" s="37"/>
      <c r="L74" s="123">
        <f>SUM(L71:L73)-1</f>
        <v>24774005.699999996</v>
      </c>
      <c r="M74" s="124">
        <v>24774005.699999996</v>
      </c>
      <c r="N74" s="127">
        <f>SUM(N71:N73)</f>
        <v>0</v>
      </c>
    </row>
    <row r="75" spans="1:14" x14ac:dyDescent="0.2">
      <c r="B75" s="29"/>
      <c r="C75" s="30" t="s">
        <v>71</v>
      </c>
      <c r="D75" s="69">
        <f>SUM(D74,D70)</f>
        <v>5511203.1699999999</v>
      </c>
      <c r="E75" s="73">
        <f>SUM(E74,E70)</f>
        <v>5511203.1699999999</v>
      </c>
      <c r="F75" s="71">
        <f t="shared" si="4"/>
        <v>0</v>
      </c>
      <c r="G75" s="72"/>
      <c r="H75" s="73" t="e">
        <f>SUM(H74,H70)</f>
        <v>#REF!</v>
      </c>
      <c r="I75" s="73" t="e">
        <f>SUM(I74,I70)</f>
        <v>#REF!</v>
      </c>
      <c r="J75" s="74" t="e">
        <f t="shared" si="5"/>
        <v>#REF!</v>
      </c>
      <c r="K75" s="37"/>
      <c r="L75" s="69">
        <f>SUM(L74,L70)+1</f>
        <v>52045571.489999995</v>
      </c>
      <c r="M75" s="73">
        <v>52045571.489999995</v>
      </c>
      <c r="N75" s="74">
        <f>SUM(L75-M75)</f>
        <v>0</v>
      </c>
    </row>
    <row r="76" spans="1:14" x14ac:dyDescent="0.2">
      <c r="C76" s="49"/>
      <c r="D76" s="41"/>
      <c r="E76" s="42"/>
      <c r="F76" s="43"/>
      <c r="G76" s="44"/>
      <c r="H76" s="45"/>
      <c r="I76" s="42"/>
      <c r="J76" s="46"/>
      <c r="K76" s="37"/>
      <c r="L76" s="41"/>
      <c r="M76" s="42"/>
      <c r="N76" s="46"/>
    </row>
    <row r="77" spans="1:14" x14ac:dyDescent="0.2">
      <c r="C77" s="30" t="s">
        <v>72</v>
      </c>
      <c r="D77" s="69">
        <f>SUM(D62+D75)</f>
        <v>115189984.52463059</v>
      </c>
      <c r="E77" s="70">
        <f>SUM(E62+E75)</f>
        <v>118512984.65000001</v>
      </c>
      <c r="F77" s="71">
        <f>SUM(F62+F75)</f>
        <v>-3323000.1253694147</v>
      </c>
      <c r="G77" s="44"/>
      <c r="H77" s="73" t="e">
        <f>SUM(H62+H75)</f>
        <v>#REF!</v>
      </c>
      <c r="I77" s="70" t="e">
        <f>SUM(I62+I75)</f>
        <v>#REF!</v>
      </c>
      <c r="J77" s="121" t="e">
        <f>SUM(J62+J75)</f>
        <v>#REF!</v>
      </c>
      <c r="K77" s="37"/>
      <c r="L77" s="69">
        <f>SUM(L62+L75)</f>
        <v>1014751437.1046633</v>
      </c>
      <c r="M77" s="70">
        <v>1045731406.83</v>
      </c>
      <c r="N77" s="121">
        <f>SUM(N62+N75)</f>
        <v>-30979970.72533679</v>
      </c>
    </row>
    <row r="78" spans="1:14" ht="13.5" thickBot="1" x14ac:dyDescent="0.25">
      <c r="A78" s="128" t="s">
        <v>73</v>
      </c>
      <c r="B78" s="129"/>
      <c r="C78" s="130"/>
      <c r="D78" s="131"/>
      <c r="E78" s="132">
        <f>+E30-E77</f>
        <v>10957100.439999983</v>
      </c>
      <c r="F78" s="133"/>
      <c r="G78" s="134"/>
      <c r="H78" s="135"/>
      <c r="I78" s="136" t="e">
        <f>SUM(I30-I77)</f>
        <v>#REF!</v>
      </c>
      <c r="J78" s="137"/>
      <c r="K78" s="138"/>
      <c r="L78" s="131"/>
      <c r="M78" s="132">
        <v>109972377.70999992</v>
      </c>
      <c r="N78" s="137"/>
    </row>
    <row r="79" spans="1:14" x14ac:dyDescent="0.2">
      <c r="A79" s="139"/>
      <c r="B79" s="4"/>
      <c r="C79" s="4"/>
    </row>
    <row r="80" spans="1:14" x14ac:dyDescent="0.2">
      <c r="A80" s="139"/>
      <c r="B80" s="139"/>
      <c r="C80" s="139"/>
    </row>
    <row r="81" spans="1:12" x14ac:dyDescent="0.2">
      <c r="A81" s="4"/>
      <c r="B81" s="139"/>
      <c r="C81" s="139"/>
    </row>
    <row r="82" spans="1:12" ht="15" x14ac:dyDescent="0.25">
      <c r="L82" s="140"/>
    </row>
    <row r="83" spans="1:12" ht="15" x14ac:dyDescent="0.25">
      <c r="L83" s="140"/>
    </row>
  </sheetData>
  <mergeCells count="5">
    <mergeCell ref="A1:N1"/>
    <mergeCell ref="A2:N2"/>
    <mergeCell ref="A3:N3"/>
    <mergeCell ref="D5:F5"/>
    <mergeCell ref="L5:N5"/>
  </mergeCells>
  <pageMargins left="0.75" right="0.75" top="0.71" bottom="0.75" header="0" footer="0"/>
  <pageSetup scale="69" orientation="portrait" r:id="rId1"/>
  <headerFooter alignWithMargins="0"/>
  <ignoredErrors>
    <ignoredError sqref="L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Julio</vt:lpstr>
      <vt:lpstr>Agosto</vt:lpstr>
      <vt:lpstr>Septiembre</vt:lpstr>
      <vt:lpstr>Agosto!Área_de_impresión</vt:lpstr>
      <vt:lpstr>Julio!Área_de_impresión</vt:lpstr>
      <vt:lpstr>Septiembre!Área_de_impresión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Jesus Casillas</cp:lastModifiedBy>
  <dcterms:created xsi:type="dcterms:W3CDTF">2011-11-23T19:34:24Z</dcterms:created>
  <dcterms:modified xsi:type="dcterms:W3CDTF">2011-11-23T19:36:26Z</dcterms:modified>
</cp:coreProperties>
</file>